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ORCA\03 RU\NursingHomes\FRV &amp; FCP\2024\"/>
    </mc:Choice>
  </mc:AlternateContent>
  <xr:revisionPtr revIDLastSave="0" documentId="8_{3FF2527E-419C-4245-BBA3-C1254A5CD538}" xr6:coauthVersionLast="47" xr6:coauthVersionMax="47" xr10:uidLastSave="{00000000-0000-0000-0000-000000000000}"/>
  <bookViews>
    <workbookView xWindow="-28920" yWindow="-120" windowWidth="29040" windowHeight="15840" tabRatio="773" xr2:uid="{00000000-000D-0000-FFFF-FFFF00000000}"/>
  </bookViews>
  <sheets>
    <sheet name="Instructions" sheetId="14" r:id="rId1"/>
    <sheet name="Input" sheetId="11" r:id="rId2"/>
    <sheet name="Capital Changes" sheetId="13" r:id="rId3"/>
    <sheet name="FRV Calc" sheetId="15" r:id="rId4"/>
    <sheet name="Per Bed Value" sheetId="12" r:id="rId5"/>
  </sheets>
  <definedNames>
    <definedName name="InputDeprRate">Input!$C$10</definedName>
    <definedName name="LastAdd">'FRV Calc'!$C$5</definedName>
    <definedName name="PerBedVal">'Per Bed Value'!$A$3:$G$108</definedName>
    <definedName name="_xlnm.Print_Area" localSheetId="3">'FRV Calc'!$A$1:$C$22</definedName>
    <definedName name="RSMeans">Input!$B$18:$G$50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2" l="1"/>
  <c r="D88" i="12"/>
  <c r="B88" i="12"/>
  <c r="A88" i="12"/>
  <c r="H87" i="12"/>
  <c r="D87" i="12"/>
  <c r="B87" i="12"/>
  <c r="A87" i="12"/>
  <c r="E86" i="12"/>
  <c r="D86" i="12"/>
  <c r="B86" i="12"/>
  <c r="A86" i="12"/>
  <c r="E85" i="12"/>
  <c r="D85" i="12"/>
  <c r="B85" i="12"/>
  <c r="A85" i="12"/>
  <c r="E84" i="12"/>
  <c r="D84" i="12"/>
  <c r="B84" i="12"/>
  <c r="A84" i="12"/>
  <c r="H83" i="12"/>
  <c r="E83" i="12"/>
  <c r="D83" i="12"/>
  <c r="B83" i="12"/>
  <c r="A83" i="12"/>
  <c r="E82" i="12"/>
  <c r="D82" i="12"/>
  <c r="B82" i="12"/>
  <c r="A82" i="12"/>
  <c r="E81" i="12"/>
  <c r="D81" i="12"/>
  <c r="B81" i="12"/>
  <c r="A81" i="12"/>
  <c r="E80" i="12"/>
  <c r="D80" i="12"/>
  <c r="B80" i="12"/>
  <c r="A80" i="12"/>
  <c r="E79" i="12"/>
  <c r="D79" i="12"/>
  <c r="B79" i="12"/>
  <c r="A79" i="12"/>
  <c r="H78" i="12"/>
  <c r="E78" i="12"/>
  <c r="D78" i="12"/>
  <c r="B78" i="12"/>
  <c r="A78" i="12"/>
  <c r="H77" i="12"/>
  <c r="E77" i="12"/>
  <c r="D77" i="12"/>
  <c r="B77" i="12"/>
  <c r="A77" i="12"/>
  <c r="E76" i="12"/>
  <c r="D76" i="12"/>
  <c r="B76" i="12"/>
  <c r="A76" i="12"/>
  <c r="E75" i="12"/>
  <c r="D75" i="12"/>
  <c r="B75" i="12"/>
  <c r="A75" i="12"/>
  <c r="E74" i="12"/>
  <c r="D74" i="12"/>
  <c r="B74" i="12"/>
  <c r="A74" i="12"/>
  <c r="H73" i="12"/>
  <c r="E73" i="12"/>
  <c r="D73" i="12"/>
  <c r="B73" i="12"/>
  <c r="A73" i="12"/>
  <c r="H72" i="12"/>
  <c r="E72" i="12"/>
  <c r="D72" i="12"/>
  <c r="B72" i="12"/>
  <c r="A72" i="12"/>
  <c r="E71" i="12"/>
  <c r="D71" i="12"/>
  <c r="B71" i="12"/>
  <c r="A71" i="12"/>
  <c r="E70" i="12"/>
  <c r="D70" i="12"/>
  <c r="B70" i="12"/>
  <c r="A70" i="12"/>
  <c r="E69" i="12"/>
  <c r="D69" i="12"/>
  <c r="B69" i="12"/>
  <c r="A69" i="12"/>
  <c r="H68" i="12"/>
  <c r="E68" i="12"/>
  <c r="D68" i="12"/>
  <c r="B68" i="12"/>
  <c r="A68" i="12"/>
  <c r="H67" i="12"/>
  <c r="E67" i="12"/>
  <c r="D67" i="12"/>
  <c r="B67" i="12"/>
  <c r="A67" i="12"/>
  <c r="E66" i="12"/>
  <c r="D66" i="12"/>
  <c r="B66" i="12"/>
  <c r="A66" i="12"/>
  <c r="E65" i="12"/>
  <c r="D65" i="12"/>
  <c r="B65" i="12"/>
  <c r="A65" i="12"/>
  <c r="E64" i="12"/>
  <c r="D64" i="12"/>
  <c r="B64" i="12"/>
  <c r="A64" i="12"/>
  <c r="H63" i="12"/>
  <c r="E63" i="12"/>
  <c r="D63" i="12"/>
  <c r="B63" i="12"/>
  <c r="A63" i="12"/>
  <c r="H62" i="12"/>
  <c r="E62" i="12"/>
  <c r="D62" i="12"/>
  <c r="B62" i="12"/>
  <c r="A62" i="12"/>
  <c r="E61" i="12"/>
  <c r="D61" i="12"/>
  <c r="B61" i="12"/>
  <c r="A61" i="12"/>
  <c r="E60" i="12"/>
  <c r="D60" i="12"/>
  <c r="B60" i="12"/>
  <c r="A60" i="12"/>
  <c r="E59" i="12"/>
  <c r="D59" i="12"/>
  <c r="B59" i="12"/>
  <c r="A59" i="12"/>
  <c r="H58" i="12"/>
  <c r="E58" i="12"/>
  <c r="D58" i="12"/>
  <c r="B58" i="12"/>
  <c r="A58" i="12"/>
  <c r="E57" i="12"/>
  <c r="D57" i="12"/>
  <c r="B57" i="12"/>
  <c r="A57" i="12"/>
  <c r="E56" i="12"/>
  <c r="D56" i="12"/>
  <c r="B56" i="12"/>
  <c r="A56" i="12"/>
  <c r="E55" i="12"/>
  <c r="D55" i="12"/>
  <c r="B55" i="12"/>
  <c r="A55" i="12"/>
  <c r="E54" i="12"/>
  <c r="D54" i="12"/>
  <c r="B54" i="12"/>
  <c r="A54" i="12"/>
  <c r="H53" i="12"/>
  <c r="E53" i="12"/>
  <c r="D53" i="12"/>
  <c r="B53" i="12"/>
  <c r="A53" i="12"/>
  <c r="H52" i="12"/>
  <c r="E52" i="12"/>
  <c r="D52" i="12"/>
  <c r="B52" i="12"/>
  <c r="A52" i="12"/>
  <c r="E51" i="12"/>
  <c r="D51" i="12"/>
  <c r="B51" i="12"/>
  <c r="A51" i="12"/>
  <c r="E50" i="12"/>
  <c r="D50" i="12"/>
  <c r="B50" i="12"/>
  <c r="A50" i="12"/>
  <c r="E49" i="12"/>
  <c r="D49" i="12"/>
  <c r="B49" i="12"/>
  <c r="A49" i="12"/>
  <c r="H48" i="12"/>
  <c r="E48" i="12"/>
  <c r="D48" i="12"/>
  <c r="B48" i="12"/>
  <c r="A48" i="12"/>
  <c r="H47" i="12"/>
  <c r="E47" i="12"/>
  <c r="D47" i="12"/>
  <c r="B47" i="12"/>
  <c r="A47" i="12"/>
  <c r="E46" i="12"/>
  <c r="D46" i="12"/>
  <c r="B46" i="12"/>
  <c r="A46" i="12"/>
  <c r="E45" i="12"/>
  <c r="D45" i="12"/>
  <c r="B45" i="12"/>
  <c r="A45" i="12"/>
  <c r="E44" i="12"/>
  <c r="D44" i="12"/>
  <c r="B44" i="12"/>
  <c r="A44" i="12"/>
  <c r="H43" i="12"/>
  <c r="E43" i="12"/>
  <c r="D43" i="12"/>
  <c r="B43" i="12"/>
  <c r="A43" i="12"/>
  <c r="E42" i="12"/>
  <c r="D42" i="12"/>
  <c r="B42" i="12"/>
  <c r="A42" i="12"/>
  <c r="E41" i="12"/>
  <c r="D41" i="12"/>
  <c r="B41" i="12"/>
  <c r="A41" i="12"/>
  <c r="E40" i="12"/>
  <c r="D40" i="12"/>
  <c r="B40" i="12"/>
  <c r="A40" i="12"/>
  <c r="E39" i="12"/>
  <c r="D39" i="12"/>
  <c r="B39" i="12"/>
  <c r="A39" i="12"/>
  <c r="H38" i="12"/>
  <c r="E38" i="12"/>
  <c r="D38" i="12"/>
  <c r="B38" i="12"/>
  <c r="A38" i="12"/>
  <c r="E37" i="12"/>
  <c r="D37" i="12"/>
  <c r="B37" i="12"/>
  <c r="A37" i="12"/>
  <c r="E36" i="12"/>
  <c r="D36" i="12"/>
  <c r="B36" i="12"/>
  <c r="A36" i="12"/>
  <c r="E35" i="12"/>
  <c r="D35" i="12"/>
  <c r="B35" i="12"/>
  <c r="A35" i="12"/>
  <c r="H34" i="12"/>
  <c r="E34" i="12"/>
  <c r="D34" i="12"/>
  <c r="B34" i="12"/>
  <c r="A34" i="12"/>
  <c r="E33" i="12"/>
  <c r="D33" i="12"/>
  <c r="B33" i="12"/>
  <c r="A33" i="12"/>
  <c r="E32" i="12"/>
  <c r="D32" i="12"/>
  <c r="B32" i="12"/>
  <c r="A32" i="12"/>
  <c r="E31" i="12"/>
  <c r="D31" i="12"/>
  <c r="B31" i="12"/>
  <c r="A31" i="12"/>
  <c r="E30" i="12"/>
  <c r="D30" i="12"/>
  <c r="B30" i="12"/>
  <c r="A30" i="12"/>
  <c r="E29" i="12"/>
  <c r="D29" i="12"/>
  <c r="B29" i="12"/>
  <c r="A29" i="12"/>
  <c r="E28" i="12"/>
  <c r="D28" i="12"/>
  <c r="B28" i="12"/>
  <c r="A28" i="12"/>
  <c r="E27" i="12"/>
  <c r="D27" i="12"/>
  <c r="B27" i="12"/>
  <c r="A27" i="12"/>
  <c r="E26" i="12"/>
  <c r="D26" i="12"/>
  <c r="B26" i="12"/>
  <c r="A26" i="12"/>
  <c r="E25" i="12"/>
  <c r="D25" i="12"/>
  <c r="B25" i="12"/>
  <c r="A25" i="12"/>
  <c r="G24" i="12"/>
  <c r="F24" i="12"/>
  <c r="E24" i="12"/>
  <c r="D24" i="12"/>
  <c r="B24" i="12"/>
  <c r="A24" i="12"/>
  <c r="G23" i="12"/>
  <c r="F23" i="12"/>
  <c r="E23" i="12"/>
  <c r="D23" i="12"/>
  <c r="C23" i="12"/>
  <c r="B23" i="12"/>
  <c r="A23" i="12"/>
  <c r="G22" i="12"/>
  <c r="F22" i="12"/>
  <c r="E22" i="12"/>
  <c r="D22" i="12"/>
  <c r="C22" i="12"/>
  <c r="B22" i="12"/>
  <c r="A22" i="12"/>
  <c r="G21" i="12"/>
  <c r="F21" i="12"/>
  <c r="E21" i="12"/>
  <c r="D21" i="12"/>
  <c r="C21" i="12"/>
  <c r="B21" i="12"/>
  <c r="A21" i="12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G18" i="12"/>
  <c r="F18" i="12"/>
  <c r="E18" i="12"/>
  <c r="D18" i="12"/>
  <c r="C18" i="12"/>
  <c r="B18" i="12"/>
  <c r="A18" i="12"/>
  <c r="G17" i="12"/>
  <c r="F17" i="12"/>
  <c r="E17" i="12"/>
  <c r="D17" i="12"/>
  <c r="C17" i="12"/>
  <c r="B17" i="12"/>
  <c r="A17" i="12"/>
  <c r="G16" i="12"/>
  <c r="F16" i="12"/>
  <c r="E16" i="12"/>
  <c r="D16" i="12"/>
  <c r="C16" i="12"/>
  <c r="B16" i="12"/>
  <c r="A16" i="12"/>
  <c r="G15" i="12"/>
  <c r="F15" i="12"/>
  <c r="E15" i="12"/>
  <c r="D15" i="12"/>
  <c r="C15" i="12"/>
  <c r="B15" i="12"/>
  <c r="A15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G12" i="12"/>
  <c r="F12" i="12"/>
  <c r="E12" i="12"/>
  <c r="D12" i="12"/>
  <c r="C12" i="12"/>
  <c r="B12" i="12"/>
  <c r="A12" i="12"/>
  <c r="G11" i="12"/>
  <c r="F11" i="12"/>
  <c r="E11" i="12"/>
  <c r="D11" i="12"/>
  <c r="C11" i="12"/>
  <c r="B11" i="12"/>
  <c r="A11" i="12"/>
  <c r="G10" i="12"/>
  <c r="F10" i="12"/>
  <c r="E10" i="12"/>
  <c r="D10" i="12"/>
  <c r="C10" i="12"/>
  <c r="B10" i="12"/>
  <c r="A10" i="12"/>
  <c r="G9" i="12"/>
  <c r="F9" i="12"/>
  <c r="E9" i="12"/>
  <c r="D9" i="12"/>
  <c r="C9" i="12"/>
  <c r="B9" i="12"/>
  <c r="A9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A7" i="12"/>
  <c r="G6" i="12"/>
  <c r="F6" i="12"/>
  <c r="E6" i="12"/>
  <c r="D6" i="12"/>
  <c r="C6" i="12"/>
  <c r="B6" i="12"/>
  <c r="A6" i="12"/>
  <c r="G5" i="12"/>
  <c r="F5" i="12"/>
  <c r="E5" i="12"/>
  <c r="D5" i="12"/>
  <c r="C5" i="12"/>
  <c r="B5" i="12"/>
  <c r="G4" i="12"/>
  <c r="F4" i="12"/>
  <c r="E4" i="12"/>
  <c r="D4" i="12"/>
  <c r="C4" i="12"/>
  <c r="A22" i="15"/>
  <c r="C21" i="15"/>
  <c r="A21" i="15"/>
  <c r="A20" i="15"/>
  <c r="A19" i="15"/>
  <c r="C18" i="15"/>
  <c r="A18" i="15"/>
  <c r="A17" i="15"/>
  <c r="A16" i="15"/>
  <c r="A15" i="15"/>
  <c r="A14" i="15"/>
  <c r="A13" i="15"/>
  <c r="A12" i="15"/>
  <c r="C11" i="15"/>
  <c r="A11" i="15"/>
  <c r="C10" i="15"/>
  <c r="A10" i="15"/>
  <c r="C9" i="15"/>
  <c r="A9" i="15"/>
  <c r="A8" i="15"/>
  <c r="A7" i="15"/>
  <c r="C6" i="15"/>
  <c r="A6" i="15"/>
  <c r="C5" i="15"/>
  <c r="A5" i="15"/>
  <c r="A4" i="15"/>
  <c r="C3" i="15"/>
  <c r="B32" i="13"/>
  <c r="B30" i="13"/>
  <c r="B29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7" i="13"/>
  <c r="B6" i="13"/>
  <c r="G43" i="11"/>
  <c r="F43" i="11"/>
  <c r="D43" i="11"/>
  <c r="C43" i="11"/>
  <c r="G42" i="11"/>
  <c r="F42" i="11"/>
  <c r="D42" i="11"/>
  <c r="C42" i="11"/>
  <c r="G41" i="11"/>
  <c r="F41" i="11"/>
  <c r="D41" i="11"/>
  <c r="C41" i="11"/>
  <c r="G40" i="11"/>
  <c r="F40" i="11"/>
  <c r="D40" i="11"/>
  <c r="C40" i="11"/>
  <c r="G39" i="11"/>
  <c r="F39" i="11"/>
  <c r="D39" i="11"/>
  <c r="C39" i="11"/>
  <c r="G38" i="11"/>
  <c r="F38" i="11"/>
  <c r="D38" i="11"/>
  <c r="C38" i="11"/>
  <c r="G37" i="11"/>
  <c r="F37" i="11"/>
  <c r="D37" i="11"/>
  <c r="C37" i="11"/>
  <c r="G36" i="11"/>
  <c r="F36" i="11"/>
  <c r="D36" i="11"/>
  <c r="C36" i="11"/>
  <c r="G35" i="11"/>
  <c r="F35" i="11"/>
  <c r="D35" i="11"/>
  <c r="G34" i="11"/>
  <c r="F34" i="11"/>
  <c r="D34" i="11"/>
  <c r="G33" i="11"/>
  <c r="F33" i="11"/>
  <c r="D33" i="11"/>
  <c r="C33" i="11"/>
  <c r="G32" i="11"/>
  <c r="F32" i="11"/>
  <c r="D32" i="11"/>
  <c r="C32" i="11"/>
  <c r="G31" i="11"/>
  <c r="F31" i="11"/>
  <c r="D31" i="11"/>
  <c r="C31" i="11"/>
  <c r="G30" i="11"/>
  <c r="F30" i="11"/>
  <c r="D30" i="11"/>
  <c r="C30" i="11"/>
  <c r="G29" i="11"/>
  <c r="F29" i="11"/>
  <c r="D29" i="11"/>
  <c r="F28" i="11"/>
  <c r="G27" i="11"/>
  <c r="F27" i="11"/>
  <c r="D27" i="11"/>
  <c r="G26" i="11"/>
  <c r="F26" i="11"/>
  <c r="D26" i="11"/>
  <c r="B26" i="11"/>
  <c r="G25" i="11"/>
  <c r="F25" i="11"/>
  <c r="D25" i="11"/>
  <c r="B25" i="11"/>
  <c r="G24" i="11"/>
  <c r="F24" i="11"/>
  <c r="D24" i="11"/>
  <c r="B24" i="11"/>
  <c r="G23" i="11"/>
  <c r="F23" i="11"/>
  <c r="D23" i="11"/>
  <c r="G22" i="11"/>
  <c r="F22" i="11"/>
  <c r="D22" i="11"/>
  <c r="B22" i="11"/>
  <c r="G21" i="11"/>
  <c r="F21" i="11"/>
  <c r="D21" i="11"/>
  <c r="B21" i="11"/>
  <c r="G20" i="11"/>
  <c r="F20" i="11"/>
  <c r="D20" i="11"/>
  <c r="B20" i="11"/>
  <c r="G19" i="11"/>
  <c r="F19" i="11"/>
  <c r="D19" i="11"/>
  <c r="B19" i="11"/>
  <c r="F18" i="11"/>
  <c r="C8" i="11"/>
  <c r="C7" i="15" l="1"/>
  <c r="C15" i="15" s="1"/>
  <c r="C8" i="15" l="1"/>
  <c r="C12" i="15" s="1"/>
  <c r="C13" i="15" l="1"/>
  <c r="C14" i="15" s="1"/>
  <c r="C16" i="15" s="1"/>
  <c r="C19" i="15" l="1"/>
  <c r="C22" i="15" s="1"/>
  <c r="C17" i="15"/>
</calcChain>
</file>

<file path=xl/sharedStrings.xml><?xml version="1.0" encoding="utf-8"?>
<sst xmlns="http://schemas.openxmlformats.org/spreadsheetml/2006/main" count="99" uniqueCount="87">
  <si>
    <t>Data Input for Utah Capital Model</t>
  </si>
  <si>
    <t>Rate of Return</t>
  </si>
  <si>
    <t>Capital Cost / Bed</t>
  </si>
  <si>
    <t>Depreciation Rate</t>
  </si>
  <si>
    <t>Facility</t>
  </si>
  <si>
    <t>Value per Bed</t>
  </si>
  <si>
    <t>Equipment Value per Bed</t>
  </si>
  <si>
    <t>Total Value per Bed</t>
  </si>
  <si>
    <t>Number of Years</t>
  </si>
  <si>
    <t>Value per bed X Beds</t>
  </si>
  <si>
    <t>Accumulated Depreciation</t>
  </si>
  <si>
    <t>Net Value</t>
  </si>
  <si>
    <t>Land</t>
  </si>
  <si>
    <t>Total Value</t>
  </si>
  <si>
    <t>Rental Rate</t>
  </si>
  <si>
    <t>Rental Return</t>
  </si>
  <si>
    <t>Min Occupancy</t>
  </si>
  <si>
    <t>Property Tax and Prop Insurance</t>
  </si>
  <si>
    <t>Total Sq. Footage</t>
  </si>
  <si>
    <t>Total No. of Licensed Beds</t>
  </si>
  <si>
    <t>Square Footage per Bed</t>
  </si>
  <si>
    <t>Total No. of Medicaid Certified Beds</t>
  </si>
  <si>
    <t>Year of Intial Construction</t>
  </si>
  <si>
    <t>Number of Beds in Intial Construction</t>
  </si>
  <si>
    <t>New bed total</t>
  </si>
  <si>
    <t>Difference in years</t>
  </si>
  <si>
    <t>Historical Cost (Means Cost Indexes Table)</t>
  </si>
  <si>
    <t>Rate of depreciation</t>
  </si>
  <si>
    <t>New bed equivalent</t>
  </si>
  <si>
    <t>New Base Year (if Addition)</t>
  </si>
  <si>
    <t>New Base Year (if Replacement)</t>
  </si>
  <si>
    <t>New Base Year (if Renovation)</t>
  </si>
  <si>
    <t xml:space="preserve">Actual Historical Cost Index </t>
  </si>
  <si>
    <t>Trend Line</t>
  </si>
  <si>
    <t>% Change</t>
  </si>
  <si>
    <t>Fair Rental Value Model</t>
  </si>
  <si>
    <t>R.S. Means Building Construction Cost Data</t>
  </si>
  <si>
    <t>"Per bed or person, total cost" row and "3/4" column</t>
  </si>
  <si>
    <t>Adjustment</t>
  </si>
  <si>
    <t>Number of Beds (Total)</t>
  </si>
  <si>
    <t>July 1 of:</t>
  </si>
  <si>
    <t>Weighted average total cost index for Salt Lake City</t>
  </si>
  <si>
    <t>3/4 Column</t>
  </si>
  <si>
    <t>NA</t>
  </si>
  <si>
    <t>Year Counter</t>
  </si>
  <si>
    <t>Manual</t>
  </si>
  <si>
    <t>Age in (year)</t>
  </si>
  <si>
    <t>Instructions for FRV Calculation:</t>
  </si>
  <si>
    <t>1)</t>
  </si>
  <si>
    <t>2)</t>
  </si>
  <si>
    <t>Specifically (Blue cells):</t>
  </si>
  <si>
    <t>3)</t>
  </si>
  <si>
    <t>Annual Patient Days</t>
  </si>
  <si>
    <t>4)</t>
  </si>
  <si>
    <t xml:space="preserve"> two most recent annual publications</t>
  </si>
  <si>
    <t>Means Historical Cost Indexes</t>
  </si>
  <si>
    <t xml:space="preserve">Type of Change </t>
  </si>
  <si>
    <t xml:space="preserve">Number of Beds or $ Amount of Renovation </t>
  </si>
  <si>
    <t>Urban or Rural?</t>
  </si>
  <si>
    <t>Urban</t>
  </si>
  <si>
    <t>Rural</t>
  </si>
  <si>
    <t>Last year of Addition, Replacement or Renovation</t>
  </si>
  <si>
    <t>Age with Max of 35 years</t>
  </si>
  <si>
    <t>Modification Number</t>
  </si>
  <si>
    <t>Calculation</t>
  </si>
  <si>
    <t>Addition</t>
  </si>
  <si>
    <t>Replacement</t>
  </si>
  <si>
    <t>Renovation</t>
  </si>
  <si>
    <t>Age (actual)</t>
  </si>
  <si>
    <t>Year of Change</t>
  </si>
  <si>
    <t>***DO NOT modify the base information shown in #2, rather insert values for the next modification number(s)***</t>
  </si>
  <si>
    <t>If the facility is Urban or Rural (select the cell to gain access to the drop drop down menu)</t>
  </si>
  <si>
    <t>Each past Modification (for the type of modification, select the cell to gain access to the drop down menu)</t>
  </si>
  <si>
    <t>Year of Initial Construction</t>
  </si>
  <si>
    <t>Number of Beds in Initial Construction</t>
  </si>
  <si>
    <t>FRV Property Rate ($8 min)</t>
  </si>
  <si>
    <t>email: nf_rates@utah.gov</t>
  </si>
  <si>
    <t>Last Year of Addition, Replacement or Renovation</t>
  </si>
  <si>
    <r>
      <t xml:space="preserve">Create a new modification number for an Addition, Replacement or Renovation. If you intend more than one </t>
    </r>
    <r>
      <rPr>
        <u/>
        <sz val="11"/>
        <rFont val="Calibri"/>
        <family val="2"/>
        <scheme val="minor"/>
      </rPr>
      <t>type</t>
    </r>
    <r>
      <rPr>
        <sz val="11"/>
        <rFont val="Calibri"/>
        <family val="2"/>
        <scheme val="minor"/>
      </rPr>
      <t xml:space="preserve"> of change, create additional modification numbers accordingly.</t>
    </r>
  </si>
  <si>
    <t>Percent change
(capital index)</t>
  </si>
  <si>
    <t>Year</t>
  </si>
  <si>
    <t>Input accurate information into the "FRV Calc" tab.</t>
  </si>
  <si>
    <t>Contact Division staff to get basic information for the "Capital Changes" tab, or if you have any questions:</t>
  </si>
  <si>
    <t>Input the information given into the appropriate cells on the "Capital Changes" tab.</t>
  </si>
  <si>
    <t>Modify "Capital Changes" as desired for various capital improvement scenarios and note changes in the Property rate.</t>
  </si>
  <si>
    <t>Facility Name</t>
  </si>
  <si>
    <t>Capital Cost per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</si>
</sst>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_);\(0.00\)"/>
    <numFmt numFmtId="167" formatCode="&quot;$&quot;#,##0.00"/>
    <numFmt numFmtId="168" formatCode="_(* #,##0.0_);_(* \(#,##0.0\);_(* &quot;-&quot;??_);_(@_)"/>
    <numFmt numFmtId="169" formatCode="###0_);\(#,##0\)"/>
    <numFmt numFmtId="170" formatCode="###0"/>
    <numFmt numFmtId="171" formatCode="###0_;"/>
    <numFmt numFmtId="172" formatCode="0_;"/>
    <numFmt numFmtId="173" formatCode="#,##0_;"/>
    <numFmt numFmtId="174" formatCode="0_);\(0\)"/>
  </numFmts>
  <fonts count="11" x14ac:knownFonts="1"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1" tint="0.49998474074526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theme="0" tint="-0.249977111117893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1">
    <xf numFmtId="0" fontId="0" fillId="0" borderId="0" xfId="0"/>
    <xf numFmtId="3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right"/>
    </xf>
    <xf numFmtId="37" fontId="6" fillId="0" borderId="0" xfId="0" quotePrefix="1" applyNumberFormat="1" applyFont="1" applyAlignment="1">
      <alignment horizontal="right"/>
    </xf>
    <xf numFmtId="0" fontId="6" fillId="0" borderId="0" xfId="0" applyFont="1"/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3" fillId="0" borderId="0" xfId="0" applyFont="1"/>
    <xf numFmtId="0" fontId="5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0" fontId="3" fillId="0" borderId="0" xfId="0" applyFont="1" applyAlignment="1">
      <alignment horizontal="left"/>
    </xf>
    <xf numFmtId="0" fontId="7" fillId="0" borderId="0" xfId="0" applyFont="1"/>
    <xf numFmtId="164" fontId="3" fillId="0" borderId="2" xfId="3" applyNumberFormat="1" applyFont="1" applyFill="1" applyBorder="1" applyProtection="1"/>
    <xf numFmtId="10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quotePrefix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0" fontId="5" fillId="0" borderId="1" xfId="0" applyNumberFormat="1" applyFont="1" applyBorder="1"/>
    <xf numFmtId="10" fontId="5" fillId="0" borderId="13" xfId="0" applyNumberFormat="1" applyFont="1" applyBorder="1"/>
    <xf numFmtId="0" fontId="5" fillId="0" borderId="14" xfId="0" quotePrefix="1" applyFont="1" applyBorder="1" applyAlignment="1">
      <alignment horizontal="centerContinuous"/>
    </xf>
    <xf numFmtId="0" fontId="5" fillId="0" borderId="15" xfId="0" quotePrefix="1" applyFont="1" applyBorder="1" applyAlignment="1">
      <alignment horizontal="centerContinuous"/>
    </xf>
    <xf numFmtId="0" fontId="5" fillId="0" borderId="16" xfId="0" quotePrefix="1" applyFont="1" applyBorder="1" applyAlignment="1">
      <alignment horizontal="centerContinuous"/>
    </xf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165" fontId="3" fillId="0" borderId="0" xfId="1" applyNumberFormat="1" applyFont="1"/>
    <xf numFmtId="165" fontId="5" fillId="0" borderId="0" xfId="1" quotePrefix="1" applyNumberFormat="1" applyFont="1" applyAlignment="1">
      <alignment horizontal="left"/>
    </xf>
    <xf numFmtId="168" fontId="3" fillId="0" borderId="0" xfId="1" applyNumberFormat="1" applyFont="1"/>
    <xf numFmtId="43" fontId="3" fillId="0" borderId="0" xfId="1" applyFont="1"/>
    <xf numFmtId="0" fontId="5" fillId="0" borderId="0" xfId="0" applyFont="1" applyAlignment="1">
      <alignment horizontal="right"/>
    </xf>
    <xf numFmtId="165" fontId="3" fillId="0" borderId="0" xfId="1" quotePrefix="1" applyNumberFormat="1" applyFont="1" applyAlignment="1">
      <alignment horizontal="left" wrapText="1"/>
    </xf>
    <xf numFmtId="165" fontId="3" fillId="0" borderId="0" xfId="1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wrapText="1"/>
    </xf>
    <xf numFmtId="170" fontId="3" fillId="0" borderId="0" xfId="1" applyNumberFormat="1" applyFont="1"/>
    <xf numFmtId="168" fontId="3" fillId="0" borderId="0" xfId="1" applyNumberFormat="1" applyFont="1" applyAlignment="1">
      <alignment wrapText="1"/>
    </xf>
    <xf numFmtId="168" fontId="3" fillId="0" borderId="0" xfId="1" applyNumberFormat="1" applyFont="1" applyAlignment="1">
      <alignment horizontal="center"/>
    </xf>
    <xf numFmtId="10" fontId="3" fillId="0" borderId="0" xfId="3" applyNumberFormat="1" applyFont="1"/>
    <xf numFmtId="0" fontId="5" fillId="0" borderId="0" xfId="0" applyFont="1" applyAlignment="1">
      <alignment horizontal="left"/>
    </xf>
    <xf numFmtId="165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indent="1"/>
    </xf>
    <xf numFmtId="0" fontId="0" fillId="0" borderId="2" xfId="0" applyBorder="1" applyAlignment="1">
      <alignment horizontal="center" wrapText="1"/>
    </xf>
    <xf numFmtId="169" fontId="0" fillId="0" borderId="2" xfId="1" applyNumberFormat="1" applyFont="1" applyFill="1" applyBorder="1" applyProtection="1"/>
    <xf numFmtId="0" fontId="0" fillId="3" borderId="2" xfId="0" applyFill="1" applyBorder="1" applyAlignment="1">
      <alignment horizontal="left" wrapText="1" indent="1"/>
    </xf>
    <xf numFmtId="173" fontId="0" fillId="0" borderId="2" xfId="1" applyNumberFormat="1" applyFont="1" applyFill="1" applyBorder="1" applyProtection="1"/>
    <xf numFmtId="0" fontId="0" fillId="3" borderId="2" xfId="0" quotePrefix="1" applyFill="1" applyBorder="1" applyAlignment="1">
      <alignment horizontal="left" wrapText="1" indent="1"/>
    </xf>
    <xf numFmtId="10" fontId="0" fillId="0" borderId="2" xfId="0" applyNumberFormat="1" applyBorder="1"/>
    <xf numFmtId="173" fontId="0" fillId="0" borderId="2" xfId="0" applyNumberFormat="1" applyBorder="1"/>
    <xf numFmtId="9" fontId="0" fillId="0" borderId="2" xfId="3" applyFont="1" applyFill="1" applyBorder="1" applyProtection="1"/>
    <xf numFmtId="173" fontId="0" fillId="2" borderId="2" xfId="1" applyNumberFormat="1" applyFont="1" applyFill="1" applyBorder="1" applyProtection="1">
      <protection locked="0"/>
    </xf>
    <xf numFmtId="43" fontId="0" fillId="0" borderId="2" xfId="1" applyFont="1" applyFill="1" applyBorder="1" applyProtection="1"/>
    <xf numFmtId="0" fontId="1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3" fontId="0" fillId="0" borderId="0" xfId="0" applyNumberFormat="1"/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Border="1" applyProtection="1"/>
    <xf numFmtId="165" fontId="0" fillId="4" borderId="0" xfId="0" applyNumberFormat="1" applyFill="1"/>
    <xf numFmtId="0" fontId="0" fillId="0" borderId="0" xfId="0" quotePrefix="1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3" fontId="0" fillId="0" borderId="0" xfId="0" applyNumberFormat="1" applyAlignment="1">
      <alignment horizontal="right"/>
    </xf>
    <xf numFmtId="172" fontId="0" fillId="0" borderId="5" xfId="0" quotePrefix="1" applyNumberFormat="1" applyBorder="1"/>
    <xf numFmtId="172" fontId="0" fillId="0" borderId="6" xfId="0" quotePrefix="1" applyNumberFormat="1" applyBorder="1"/>
    <xf numFmtId="172" fontId="0" fillId="0" borderId="7" xfId="0" quotePrefix="1" applyNumberFormat="1" applyBorder="1"/>
    <xf numFmtId="172" fontId="0" fillId="0" borderId="8" xfId="0" quotePrefix="1" applyNumberFormat="1" applyBorder="1"/>
    <xf numFmtId="172" fontId="0" fillId="0" borderId="0" xfId="0" quotePrefix="1" applyNumberFormat="1"/>
    <xf numFmtId="172" fontId="0" fillId="0" borderId="9" xfId="0" quotePrefix="1" applyNumberFormat="1" applyBorder="1"/>
    <xf numFmtId="172" fontId="0" fillId="0" borderId="10" xfId="0" quotePrefix="1" applyNumberFormat="1" applyBorder="1"/>
    <xf numFmtId="172" fontId="0" fillId="0" borderId="11" xfId="0" quotePrefix="1" applyNumberFormat="1" applyBorder="1"/>
    <xf numFmtId="172" fontId="0" fillId="0" borderId="12" xfId="0" quotePrefix="1" applyNumberFormat="1" applyBorder="1"/>
    <xf numFmtId="0" fontId="0" fillId="0" borderId="0" xfId="0" applyAlignment="1">
      <alignment horizontal="right" vertical="center" wrapText="1"/>
    </xf>
    <xf numFmtId="41" fontId="0" fillId="0" borderId="0" xfId="4" applyFont="1" applyBorder="1" applyProtection="1"/>
    <xf numFmtId="37" fontId="0" fillId="2" borderId="2" xfId="0" applyNumberFormat="1" applyFill="1" applyBorder="1" applyAlignment="1" applyProtection="1">
      <alignment horizontal="center"/>
      <protection locked="0"/>
    </xf>
    <xf numFmtId="41" fontId="0" fillId="0" borderId="0" xfId="4" quotePrefix="1" applyFont="1" applyBorder="1" applyProtection="1"/>
    <xf numFmtId="174" fontId="0" fillId="0" borderId="0" xfId="4" applyNumberFormat="1" applyFont="1" applyBorder="1" applyProtection="1"/>
    <xf numFmtId="0" fontId="0" fillId="0" borderId="0" xfId="4" applyNumberFormat="1" applyFont="1" applyBorder="1" applyProtection="1"/>
    <xf numFmtId="165" fontId="0" fillId="5" borderId="2" xfId="1" applyNumberFormat="1" applyFont="1" applyFill="1" applyBorder="1" applyProtection="1">
      <protection locked="0"/>
    </xf>
    <xf numFmtId="171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172" fontId="0" fillId="5" borderId="2" xfId="0" applyNumberFormat="1" applyFill="1" applyBorder="1" applyProtection="1">
      <protection locked="0"/>
    </xf>
    <xf numFmtId="0" fontId="3" fillId="0" borderId="19" xfId="0" quotePrefix="1" applyFont="1" applyBorder="1" applyAlignment="1">
      <alignment horizontal="center"/>
    </xf>
    <xf numFmtId="0" fontId="3" fillId="0" borderId="20" xfId="0" quotePrefix="1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2" fillId="6" borderId="23" xfId="0" applyFont="1" applyFill="1" applyBorder="1" applyAlignment="1">
      <alignment horizontal="center" wrapText="1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2" xfId="0" quotePrefix="1" applyFill="1" applyBorder="1" applyAlignment="1">
      <alignment wrapText="1"/>
    </xf>
    <xf numFmtId="10" fontId="3" fillId="0" borderId="1" xfId="0" applyNumberFormat="1" applyFont="1" applyBorder="1" applyAlignment="1">
      <alignment horizontal="center"/>
    </xf>
    <xf numFmtId="170" fontId="3" fillId="0" borderId="11" xfId="1" applyNumberFormat="1" applyFont="1" applyBorder="1"/>
    <xf numFmtId="165" fontId="3" fillId="0" borderId="11" xfId="1" applyNumberFormat="1" applyFont="1" applyBorder="1"/>
    <xf numFmtId="168" fontId="3" fillId="0" borderId="11" xfId="1" applyNumberFormat="1" applyFont="1" applyBorder="1" applyAlignment="1">
      <alignment wrapText="1"/>
    </xf>
    <xf numFmtId="168" fontId="3" fillId="0" borderId="11" xfId="1" applyNumberFormat="1" applyFont="1" applyBorder="1"/>
    <xf numFmtId="10" fontId="3" fillId="0" borderId="11" xfId="3" applyNumberFormat="1" applyFont="1" applyBorder="1"/>
    <xf numFmtId="43" fontId="3" fillId="0" borderId="11" xfId="1" applyFont="1" applyBorder="1"/>
    <xf numFmtId="168" fontId="3" fillId="0" borderId="11" xfId="1" applyNumberFormat="1" applyFont="1" applyBorder="1" applyAlignment="1">
      <alignment horizontal="center" wrapText="1"/>
    </xf>
    <xf numFmtId="167" fontId="3" fillId="0" borderId="2" xfId="2" applyNumberFormat="1" applyFont="1" applyFill="1" applyBorder="1" applyProtection="1"/>
    <xf numFmtId="167" fontId="3" fillId="7" borderId="22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3" xfId="0" applyFont="1" applyFill="1" applyBorder="1"/>
    <xf numFmtId="3" fontId="3" fillId="7" borderId="1" xfId="0" applyNumberFormat="1" applyFont="1" applyFill="1" applyBorder="1"/>
    <xf numFmtId="3" fontId="3" fillId="7" borderId="13" xfId="0" applyNumberFormat="1" applyFont="1" applyFill="1" applyBorder="1"/>
    <xf numFmtId="0" fontId="3" fillId="8" borderId="2" xfId="0" applyFont="1" applyFill="1" applyBorder="1" applyProtection="1">
      <protection locked="0"/>
    </xf>
    <xf numFmtId="165" fontId="0" fillId="5" borderId="17" xfId="1" applyNumberFormat="1" applyFont="1" applyFill="1" applyBorder="1" applyAlignment="1" applyProtection="1">
      <alignment horizontal="center" wrapText="1"/>
      <protection locked="0"/>
    </xf>
    <xf numFmtId="165" fontId="0" fillId="5" borderId="18" xfId="1" applyNumberFormat="1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[0]" xfId="4" builtinId="6"/>
    <cellStyle name="Currency" xfId="2" builtinId="4"/>
    <cellStyle name="Normal" xfId="0" builtinId="0" customBuiltin="1"/>
    <cellStyle name="Percent" xfId="3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70" formatCode="###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FFFCC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border outline="0">
        <left style="double">
          <color indexed="64"/>
        </left>
        <right style="double">
          <color indexed="64"/>
        </right>
        <bottom style="double">
          <color indexed="64"/>
        </bottom>
      </border>
    </dxf>
    <dxf>
      <border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7</xdr:col>
      <xdr:colOff>0</xdr:colOff>
      <xdr:row>10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24325" y="1000125"/>
          <a:ext cx="2667000" cy="1533525"/>
        </a:xfrm>
        <a:prstGeom prst="rect">
          <a:avLst/>
        </a:prstGeom>
        <a:solidFill>
          <a:srgbClr val="FFFFCC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+mn-lt"/>
              <a:cs typeface="Arial"/>
            </a:rPr>
            <a:t>Attachment 4.19-D Section 634(b)</a:t>
          </a:r>
          <a:r>
            <a:rPr lang="en-US" sz="1100" b="0" i="0" strike="noStrike">
              <a:solidFill>
                <a:srgbClr val="000000"/>
              </a:solidFill>
              <a:latin typeface="+mn-lt"/>
              <a:cs typeface="Arial"/>
            </a:rPr>
            <a:t> - As used in this subsection (b), "capital index" is the percent change in the nursing home "Per bed or person, total cost" row and "3/4" column as found in the two most recent annual R.S. Means Building  Construction Cost Data as adjusted by the weighted average total city cost index for Salt Lake City, Utah.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895975" y="771525"/>
          <a:ext cx="5000625" cy="571500"/>
        </a:xfrm>
        <a:prstGeom prst="rect">
          <a:avLst/>
        </a:prstGeom>
        <a:solidFill>
          <a:srgbClr val="FFFFFF"/>
        </a:solidFill>
        <a:ln w="38100">
          <a:solidFill>
            <a:schemeClr val="tx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lvl="1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+mn-lt"/>
              <a:cs typeface="Arial"/>
            </a:rPr>
            <a:t>Modification Line Three</a:t>
          </a:r>
          <a:endParaRPr lang="en-US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lvl="1"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Arial"/>
            </a:rPr>
            <a:t>If Addition or Replacement, enter number of beds added  or replaced</a:t>
          </a:r>
        </a:p>
        <a:p>
          <a:pPr lvl="1"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cs typeface="Arial"/>
            </a:rPr>
            <a:t>If Renovation, enter $ amount of renovation</a:t>
          </a:r>
        </a:p>
      </xdr:txBody>
    </xdr:sp>
    <xdr:clientData/>
  </xdr:twoCellAnchor>
  <xdr:oneCellAnchor>
    <xdr:from>
      <xdr:col>5</xdr:col>
      <xdr:colOff>1</xdr:colOff>
      <xdr:row>1</xdr:row>
      <xdr:rowOff>107843</xdr:rowOff>
    </xdr:from>
    <xdr:ext cx="5000624" cy="282682"/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95976" y="298343"/>
          <a:ext cx="5000624" cy="282682"/>
        </a:xfrm>
        <a:prstGeom prst="rect">
          <a:avLst/>
        </a:prstGeom>
        <a:ln>
          <a:solidFill>
            <a:srgbClr val="C00000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en-US" sz="1000" b="1" i="0" strike="noStrike" cap="none" spc="0">
              <a:ln>
                <a:noFill/>
              </a:ln>
              <a:solidFill>
                <a:srgbClr val="C00000"/>
              </a:solidFill>
              <a:effectLst/>
              <a:latin typeface="Arial"/>
              <a:cs typeface="Arial"/>
            </a:rPr>
            <a:t>***You may only change Blue background cells***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9DBB49-B3B8-43DE-B521-A3BBAFCB8528}" name="tblInput" displayName="tblInput" ref="B17:G43" totalsRowShown="0" headerRowDxfId="19" headerRowBorderDxfId="18" tableBorderDxfId="17" totalsRowBorderDxfId="16">
  <tableColumns count="6">
    <tableColumn id="1" xr3:uid="{A8D7F43F-670F-4E47-8422-7222F38E71C7}" name="Year" dataDxfId="15"/>
    <tableColumn id="2" xr3:uid="{94697BF8-57F9-4233-8018-2AB40D89D87D}" name="3/4 Column" dataDxfId="14">
      <calculatedColumnFormula>IF(E18&gt;0,C17*(E18/E17),"")</calculatedColumnFormula>
    </tableColumn>
    <tableColumn id="3" xr3:uid="{476EA6CB-9D67-4D6D-B074-68B4711102B8}" name="Percent change_x000a_(capital index)" dataDxfId="13">
      <calculatedColumnFormula>IF(ISERROR((C18-C17)/C18),"",(C18-C17)/C18)</calculatedColumnFormula>
    </tableColumn>
    <tableColumn id="4" xr3:uid="{83875369-3E86-413F-BF50-E4A5E2CD6A5E}" name="Weighted average total cost index for Salt Lake City" dataDxfId="12"/>
    <tableColumn id="5" xr3:uid="{78C34C41-810F-4B5D-9AD9-1B8AB0E31448}" name="Adjustment" dataDxfId="11">
      <calculatedColumnFormula>IFERROR(D18*(E18/100),"")</calculatedColumnFormula>
    </tableColumn>
    <tableColumn id="6" xr3:uid="{E6F7B095-3320-4BE8-9A46-919F2FC19B30}" name="Capital Cost per Bed" dataDxfId="10">
      <calculatedColumnFormula>IF(ISERROR(G17+(G17*F18)),"",G17+(G17*F18))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erBed" displayName="tblPerBed" ref="A3:H88" totalsRowShown="0" headerRowDxfId="9" dataDxfId="8" headerRowCellStyle="Comma">
  <tableColumns count="8">
    <tableColumn id="1" xr3:uid="{00000000-0010-0000-0000-000001000000}" name="July 1 of:" dataDxfId="7" dataCellStyle="Comma">
      <calculatedColumnFormula>+A3-1</calculatedColumnFormula>
    </tableColumn>
    <tableColumn id="2" xr3:uid="{00000000-0010-0000-0000-000002000000}" name="Year Counter" dataDxfId="6" dataCellStyle="Comma">
      <calculatedColumnFormula>B3+1</calculatedColumnFormula>
    </tableColumn>
    <tableColumn id="3" xr3:uid="{00000000-0010-0000-0000-000003000000}" name="Actual Historical Cost Index " dataDxfId="5" dataCellStyle="Comma"/>
    <tableColumn id="4" xr3:uid="{00000000-0010-0000-0000-000004000000}" name="Trend Line" dataDxfId="4" dataCellStyle="Comma"/>
    <tableColumn id="5" xr3:uid="{00000000-0010-0000-0000-000005000000}" name="% Change" dataDxfId="3" dataCellStyle="Percent"/>
    <tableColumn id="6" xr3:uid="{00000000-0010-0000-0000-000006000000}" name="3/4 Column" dataDxfId="2" dataCellStyle="Comma"/>
    <tableColumn id="7" xr3:uid="{00000000-0010-0000-0000-000007000000}" name="Capital Cost / Bed" dataDxfId="1" dataCellStyle="Comma"/>
    <tableColumn id="8" xr3:uid="{00000000-0010-0000-0000-000008000000}" name="Manual" dataDxfId="0" dataCellStyle="Comma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C24"/>
  <sheetViews>
    <sheetView showGridLines="0" tabSelected="1" workbookViewId="0">
      <selection activeCell="H17" sqref="H17"/>
    </sheetView>
  </sheetViews>
  <sheetFormatPr defaultColWidth="9.140625" defaultRowHeight="15" x14ac:dyDescent="0.25"/>
  <cols>
    <col min="1" max="2" width="3" style="9" customWidth="1"/>
    <col min="3" max="16384" width="9.140625" style="9"/>
  </cols>
  <sheetData>
    <row r="2" spans="2:3" ht="18.75" x14ac:dyDescent="0.3">
      <c r="B2" s="8" t="s">
        <v>47</v>
      </c>
    </row>
    <row r="4" spans="2:3" x14ac:dyDescent="0.25">
      <c r="B4" s="9" t="s">
        <v>48</v>
      </c>
      <c r="C4" t="s">
        <v>82</v>
      </c>
    </row>
    <row r="5" spans="2:3" x14ac:dyDescent="0.25">
      <c r="C5" s="10" t="s">
        <v>76</v>
      </c>
    </row>
    <row r="7" spans="2:3" x14ac:dyDescent="0.25">
      <c r="B7" s="9" t="s">
        <v>49</v>
      </c>
      <c r="C7" s="11" t="s">
        <v>83</v>
      </c>
    </row>
    <row r="8" spans="2:3" x14ac:dyDescent="0.25">
      <c r="C8" s="11" t="s">
        <v>50</v>
      </c>
    </row>
    <row r="9" spans="2:3" x14ac:dyDescent="0.25">
      <c r="C9" s="12" t="s">
        <v>18</v>
      </c>
    </row>
    <row r="10" spans="2:3" x14ac:dyDescent="0.25">
      <c r="C10" s="12" t="s">
        <v>19</v>
      </c>
    </row>
    <row r="11" spans="2:3" x14ac:dyDescent="0.25">
      <c r="C11" s="12" t="s">
        <v>22</v>
      </c>
    </row>
    <row r="12" spans="2:3" x14ac:dyDescent="0.25">
      <c r="C12" s="12" t="s">
        <v>23</v>
      </c>
    </row>
    <row r="13" spans="2:3" x14ac:dyDescent="0.25">
      <c r="C13" s="13" t="s">
        <v>72</v>
      </c>
    </row>
    <row r="15" spans="2:3" x14ac:dyDescent="0.25">
      <c r="B15" s="9" t="s">
        <v>51</v>
      </c>
      <c r="C15" s="14" t="s">
        <v>81</v>
      </c>
    </row>
    <row r="16" spans="2:3" x14ac:dyDescent="0.25">
      <c r="C16" s="11" t="s">
        <v>50</v>
      </c>
    </row>
    <row r="17" spans="2:3" x14ac:dyDescent="0.25">
      <c r="C17" s="12" t="s">
        <v>71</v>
      </c>
    </row>
    <row r="18" spans="2:3" x14ac:dyDescent="0.25">
      <c r="C18" s="12" t="s">
        <v>52</v>
      </c>
    </row>
    <row r="19" spans="2:3" x14ac:dyDescent="0.25">
      <c r="C19" s="12" t="s">
        <v>17</v>
      </c>
    </row>
    <row r="21" spans="2:3" x14ac:dyDescent="0.25">
      <c r="B21" s="9" t="s">
        <v>53</v>
      </c>
      <c r="C21" s="11" t="s">
        <v>84</v>
      </c>
    </row>
    <row r="22" spans="2:3" x14ac:dyDescent="0.25">
      <c r="C22" s="12" t="s">
        <v>78</v>
      </c>
    </row>
    <row r="24" spans="2:3" x14ac:dyDescent="0.25">
      <c r="C24" s="10" t="s">
        <v>70</v>
      </c>
    </row>
  </sheetData>
  <sheetProtection algorithmName="SHA-512" hashValue="fiqAzxJOZZ7fdsNFJcma291Kn4Ara7mhUEhNqHy3xf8p5hO9jIInsQ9lXcwh3ztdvTGwJN4K4M+AYLGcsb7E8w==" saltValue="DgWvtZYzJmSKPuCVEMkfUA==" spinCount="100000" sheet="1" objects="1" scenarios="1" selectLockedCells="1"/>
  <printOptions horizontalCentered="1"/>
  <pageMargins left="0.17" right="0.1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I43"/>
  <sheetViews>
    <sheetView showGridLines="0" zoomScaleNormal="100" workbookViewId="0">
      <selection activeCell="C4" sqref="C4"/>
    </sheetView>
  </sheetViews>
  <sheetFormatPr defaultColWidth="10" defaultRowHeight="15" x14ac:dyDescent="0.25"/>
  <cols>
    <col min="1" max="1" width="3" style="9" customWidth="1"/>
    <col min="2" max="2" width="15.42578125" style="9" customWidth="1"/>
    <col min="3" max="3" width="12.42578125" style="9" customWidth="1"/>
    <col min="4" max="4" width="14.7109375" style="9" customWidth="1"/>
    <col min="5" max="5" width="17.85546875" style="9" bestFit="1" customWidth="1"/>
    <col min="6" max="6" width="11.42578125" style="9" bestFit="1" customWidth="1"/>
    <col min="7" max="7" width="11.42578125" style="9" customWidth="1"/>
    <col min="8" max="8" width="10" style="9"/>
    <col min="10" max="16384" width="10" style="9"/>
  </cols>
  <sheetData>
    <row r="2" spans="2:9" ht="18.75" x14ac:dyDescent="0.3">
      <c r="B2" s="15" t="s">
        <v>0</v>
      </c>
      <c r="C2" s="31"/>
      <c r="D2" s="31"/>
      <c r="I2" s="9"/>
    </row>
    <row r="4" spans="2:9" x14ac:dyDescent="0.25">
      <c r="B4" s="29" t="s">
        <v>46</v>
      </c>
      <c r="C4" s="118">
        <v>2024</v>
      </c>
      <c r="I4" s="9"/>
    </row>
    <row r="5" spans="2:9" x14ac:dyDescent="0.25">
      <c r="B5" s="30"/>
    </row>
    <row r="6" spans="2:9" x14ac:dyDescent="0.25">
      <c r="B6" s="30" t="s">
        <v>1</v>
      </c>
      <c r="C6" s="16">
        <v>0.09</v>
      </c>
      <c r="I6" s="9"/>
    </row>
    <row r="7" spans="2:9" x14ac:dyDescent="0.25">
      <c r="B7" s="30"/>
    </row>
    <row r="8" spans="2:9" x14ac:dyDescent="0.25">
      <c r="B8" s="30" t="s">
        <v>2</v>
      </c>
      <c r="C8" s="111">
        <f>IF(C4="","",_xlfn.XLOOKUP(C4,tblInput[Year],tblInput[Capital Cost per Bed],0))</f>
        <v>72817.948754816709</v>
      </c>
      <c r="I8" s="9"/>
    </row>
    <row r="9" spans="2:9" x14ac:dyDescent="0.25">
      <c r="B9" s="30"/>
    </row>
    <row r="10" spans="2:9" x14ac:dyDescent="0.25">
      <c r="B10" s="30" t="s">
        <v>3</v>
      </c>
      <c r="C10" s="17">
        <v>1.4999999999999999E-2</v>
      </c>
    </row>
    <row r="11" spans="2:9" ht="15.75" thickBot="1" x14ac:dyDescent="0.3">
      <c r="I11" s="9"/>
    </row>
    <row r="12" spans="2:9" ht="15.75" thickTop="1" x14ac:dyDescent="0.25">
      <c r="B12" s="26" t="s">
        <v>36</v>
      </c>
      <c r="C12" s="27"/>
      <c r="D12" s="27"/>
      <c r="E12" s="27"/>
      <c r="F12" s="27"/>
      <c r="G12" s="28"/>
      <c r="I12" s="9"/>
    </row>
    <row r="13" spans="2:9" ht="7.5" customHeight="1" x14ac:dyDescent="0.25">
      <c r="B13" s="18"/>
      <c r="G13" s="19"/>
      <c r="I13" s="9"/>
    </row>
    <row r="14" spans="2:9" x14ac:dyDescent="0.25">
      <c r="B14" s="20" t="s">
        <v>37</v>
      </c>
      <c r="G14" s="19"/>
      <c r="I14" s="9"/>
    </row>
    <row r="15" spans="2:9" x14ac:dyDescent="0.25">
      <c r="B15" s="21" t="s">
        <v>54</v>
      </c>
      <c r="G15" s="19"/>
      <c r="I15" s="9"/>
    </row>
    <row r="16" spans="2:9" x14ac:dyDescent="0.25">
      <c r="B16" s="18"/>
      <c r="G16" s="19"/>
      <c r="I16" s="9"/>
    </row>
    <row r="17" spans="2:9" ht="45" x14ac:dyDescent="0.25">
      <c r="B17" s="97" t="s">
        <v>80</v>
      </c>
      <c r="C17" s="98" t="s">
        <v>42</v>
      </c>
      <c r="D17" s="98" t="s">
        <v>79</v>
      </c>
      <c r="E17" s="98" t="s">
        <v>41</v>
      </c>
      <c r="F17" s="98" t="s">
        <v>38</v>
      </c>
      <c r="G17" s="99" t="s">
        <v>86</v>
      </c>
      <c r="I17" s="9"/>
    </row>
    <row r="18" spans="2:9" hidden="1" x14ac:dyDescent="0.25">
      <c r="B18" s="94">
        <v>2004</v>
      </c>
      <c r="C18" s="116">
        <v>58500</v>
      </c>
      <c r="D18" s="22" t="s">
        <v>43</v>
      </c>
      <c r="E18" s="113" t="s">
        <v>43</v>
      </c>
      <c r="F18" s="103" t="str">
        <f t="shared" ref="F18:F43" si="0">IFERROR(D18*(E18/100),"")</f>
        <v/>
      </c>
      <c r="G18" s="112">
        <v>50000</v>
      </c>
      <c r="I18" s="9"/>
    </row>
    <row r="19" spans="2:9" hidden="1" x14ac:dyDescent="0.25">
      <c r="B19" s="94">
        <f>+B18+1</f>
        <v>2005</v>
      </c>
      <c r="C19" s="116">
        <v>63500</v>
      </c>
      <c r="D19" s="23">
        <f>(C19-C18)/C19</f>
        <v>7.874015748031496E-2</v>
      </c>
      <c r="E19" s="114">
        <v>88.1</v>
      </c>
      <c r="F19" s="24">
        <f t="shared" si="0"/>
        <v>6.9370078740157465E-2</v>
      </c>
      <c r="G19" s="112">
        <f>G18+(G18*F19)</f>
        <v>53468.503937007874</v>
      </c>
      <c r="I19" s="9"/>
    </row>
    <row r="20" spans="2:9" hidden="1" x14ac:dyDescent="0.25">
      <c r="B20" s="94">
        <f>+B19+1</f>
        <v>2006</v>
      </c>
      <c r="C20" s="116">
        <v>66000</v>
      </c>
      <c r="D20" s="23">
        <f>(C20-C19)/C20</f>
        <v>3.787878787878788E-2</v>
      </c>
      <c r="E20" s="114">
        <v>87.7</v>
      </c>
      <c r="F20" s="24">
        <f t="shared" si="0"/>
        <v>3.3219696969696969E-2</v>
      </c>
      <c r="G20" s="112">
        <f>G19+(G19*F20)</f>
        <v>55244.711435218327</v>
      </c>
      <c r="I20" s="9"/>
    </row>
    <row r="21" spans="2:9" hidden="1" x14ac:dyDescent="0.25">
      <c r="B21" s="94">
        <f>+B20+1</f>
        <v>2007</v>
      </c>
      <c r="C21" s="116">
        <v>70500</v>
      </c>
      <c r="D21" s="23">
        <f t="shared" ref="D21:D30" si="1">IF(ISERROR((C21-C20)/C21),"",(C21-C20)/C21)</f>
        <v>6.3829787234042548E-2</v>
      </c>
      <c r="E21" s="114">
        <v>88.1</v>
      </c>
      <c r="F21" s="24">
        <f t="shared" si="0"/>
        <v>5.6234042553191477E-2</v>
      </c>
      <c r="G21" s="112">
        <f t="shared" ref="G21:G29" si="2">IF(ISERROR(G20+(G20*F21)),"",G20+(G20*F21))</f>
        <v>58351.34488890518</v>
      </c>
      <c r="I21" s="9"/>
    </row>
    <row r="22" spans="2:9" hidden="1" x14ac:dyDescent="0.25">
      <c r="B22" s="94">
        <f>+B21+1</f>
        <v>2008</v>
      </c>
      <c r="C22" s="116">
        <v>73500</v>
      </c>
      <c r="D22" s="23">
        <f t="shared" si="1"/>
        <v>4.0816326530612242E-2</v>
      </c>
      <c r="E22" s="114">
        <v>87.8</v>
      </c>
      <c r="F22" s="24">
        <f t="shared" si="0"/>
        <v>3.5836734693877548E-2</v>
      </c>
      <c r="G22" s="112">
        <f t="shared" si="2"/>
        <v>60442.466554719824</v>
      </c>
      <c r="I22" s="9"/>
    </row>
    <row r="23" spans="2:9" hidden="1" x14ac:dyDescent="0.25">
      <c r="B23" s="95">
        <v>2009</v>
      </c>
      <c r="C23" s="117">
        <v>79000</v>
      </c>
      <c r="D23" s="23">
        <f t="shared" si="1"/>
        <v>6.9620253164556958E-2</v>
      </c>
      <c r="E23" s="115">
        <v>88.2</v>
      </c>
      <c r="F23" s="24">
        <f t="shared" si="0"/>
        <v>6.1405063291139241E-2</v>
      </c>
      <c r="G23" s="112">
        <f t="shared" si="2"/>
        <v>64153.940038984962</v>
      </c>
      <c r="I23" s="9"/>
    </row>
    <row r="24" spans="2:9" hidden="1" x14ac:dyDescent="0.25">
      <c r="B24" s="94">
        <f>+B23+1</f>
        <v>2010</v>
      </c>
      <c r="C24" s="117">
        <v>78000</v>
      </c>
      <c r="D24" s="23">
        <f t="shared" si="1"/>
        <v>-1.282051282051282E-2</v>
      </c>
      <c r="E24" s="115">
        <v>86.5</v>
      </c>
      <c r="F24" s="24">
        <f t="shared" si="0"/>
        <v>-1.108974358974359E-2</v>
      </c>
      <c r="G24" s="112">
        <f t="shared" si="2"/>
        <v>63442.489293680832</v>
      </c>
      <c r="I24" s="9"/>
    </row>
    <row r="25" spans="2:9" hidden="1" x14ac:dyDescent="0.25">
      <c r="B25" s="94">
        <f>+B24+1</f>
        <v>2011</v>
      </c>
      <c r="C25" s="117">
        <v>78500</v>
      </c>
      <c r="D25" s="23">
        <f t="shared" si="1"/>
        <v>6.369426751592357E-3</v>
      </c>
      <c r="E25" s="115">
        <v>87.3</v>
      </c>
      <c r="F25" s="24">
        <f t="shared" si="0"/>
        <v>5.5605095541401278E-3</v>
      </c>
      <c r="G25" s="112">
        <f t="shared" si="2"/>
        <v>63795.261861536776</v>
      </c>
      <c r="I25" s="9"/>
    </row>
    <row r="26" spans="2:9" hidden="1" x14ac:dyDescent="0.25">
      <c r="B26" s="94">
        <f>+B25+1</f>
        <v>2012</v>
      </c>
      <c r="C26" s="117">
        <v>82000</v>
      </c>
      <c r="D26" s="23">
        <f t="shared" si="1"/>
        <v>4.2682926829268296E-2</v>
      </c>
      <c r="E26" s="115">
        <v>86.9</v>
      </c>
      <c r="F26" s="24">
        <f t="shared" si="0"/>
        <v>3.7091463414634152E-2</v>
      </c>
      <c r="G26" s="112">
        <f t="shared" si="2"/>
        <v>66161.521482900978</v>
      </c>
      <c r="I26" s="9"/>
    </row>
    <row r="27" spans="2:9" hidden="1" x14ac:dyDescent="0.25">
      <c r="B27" s="95">
        <v>2013</v>
      </c>
      <c r="C27" s="117">
        <v>84000</v>
      </c>
      <c r="D27" s="23">
        <f t="shared" si="1"/>
        <v>2.3809523809523808E-2</v>
      </c>
      <c r="E27" s="115">
        <v>86.7</v>
      </c>
      <c r="F27" s="24">
        <f t="shared" si="0"/>
        <v>2.064285714285714E-2</v>
      </c>
      <c r="G27" s="112">
        <f t="shared" si="2"/>
        <v>67527.284319226572</v>
      </c>
      <c r="I27" s="9"/>
    </row>
    <row r="28" spans="2:9" x14ac:dyDescent="0.25">
      <c r="B28" s="95">
        <v>2014</v>
      </c>
      <c r="C28" s="117">
        <v>86000</v>
      </c>
      <c r="D28" s="23">
        <v>2.3255813953488372E-2</v>
      </c>
      <c r="E28" s="115">
        <v>86.8</v>
      </c>
      <c r="F28" s="25">
        <f t="shared" si="0"/>
        <v>2.0186046511627906E-2</v>
      </c>
      <c r="G28" s="112">
        <v>68890.393221298407</v>
      </c>
      <c r="I28" s="9"/>
    </row>
    <row r="29" spans="2:9" x14ac:dyDescent="0.25">
      <c r="B29" s="95">
        <v>2015</v>
      </c>
      <c r="C29" s="117">
        <v>88000</v>
      </c>
      <c r="D29" s="23">
        <f t="shared" si="1"/>
        <v>2.2727272727272728E-2</v>
      </c>
      <c r="E29" s="115">
        <v>87.4</v>
      </c>
      <c r="F29" s="25">
        <f t="shared" si="0"/>
        <v>1.9863636363636368E-2</v>
      </c>
      <c r="G29" s="112">
        <f t="shared" si="2"/>
        <v>70258.806941194198</v>
      </c>
      <c r="I29" s="9"/>
    </row>
    <row r="30" spans="2:9" x14ac:dyDescent="0.25">
      <c r="B30" s="95">
        <v>2016</v>
      </c>
      <c r="C30" s="117">
        <f>IF(E30&gt;0,C29*(E30/E29),"")</f>
        <v>89610.983981693353</v>
      </c>
      <c r="D30" s="23">
        <f t="shared" si="1"/>
        <v>1.7977528089887517E-2</v>
      </c>
      <c r="E30" s="115">
        <v>89</v>
      </c>
      <c r="F30" s="25">
        <f t="shared" si="0"/>
        <v>1.5999999999999889E-2</v>
      </c>
      <c r="G30" s="112">
        <f>IF(ISERROR(G29+(G29*F30)),"",G29+(G29*F30))</f>
        <v>71382.947852253303</v>
      </c>
      <c r="I30" s="9"/>
    </row>
    <row r="31" spans="2:9" x14ac:dyDescent="0.25">
      <c r="B31" s="95">
        <v>2017</v>
      </c>
      <c r="C31" s="117">
        <f>IF(E31&gt;0,C30*(E31/E30),"")</f>
        <v>89610.983981693353</v>
      </c>
      <c r="D31" s="23">
        <f>IF(ISERROR((C31-C30)/C31),"",(C31-C30)/C31)</f>
        <v>0</v>
      </c>
      <c r="E31" s="115">
        <v>89</v>
      </c>
      <c r="F31" s="25">
        <f t="shared" si="0"/>
        <v>0</v>
      </c>
      <c r="G31" s="112">
        <f>IF(ISERROR(G30+(G30*F31)),"",G30+(G30*F31))</f>
        <v>71382.947852253303</v>
      </c>
      <c r="I31" s="9"/>
    </row>
    <row r="32" spans="2:9" x14ac:dyDescent="0.25">
      <c r="B32" s="95">
        <v>2018</v>
      </c>
      <c r="C32" s="117">
        <f>IF(E32&gt;0,C31*(E32/E31),"")</f>
        <v>90617.848970251711</v>
      </c>
      <c r="D32" s="23">
        <f>IF(ISERROR((C32-C31)/C32),"",(C32-C31)/C32)</f>
        <v>1.1111111111111176E-2</v>
      </c>
      <c r="E32" s="115">
        <v>90</v>
      </c>
      <c r="F32" s="25">
        <f t="shared" si="0"/>
        <v>1.0000000000000059E-2</v>
      </c>
      <c r="G32" s="112">
        <f>IF(ISERROR(G31+(G31*F32)),"",G31+(G31*F32))</f>
        <v>72096.777330775847</v>
      </c>
      <c r="I32" s="9"/>
    </row>
    <row r="33" spans="2:9" x14ac:dyDescent="0.25">
      <c r="B33" s="96">
        <v>2019</v>
      </c>
      <c r="C33" s="117">
        <f>IF(E33&gt;0,C32*(E33/E32),"")</f>
        <v>90617.848970251711</v>
      </c>
      <c r="D33" s="23">
        <f>IF(ISERROR((C33-C32)/C33),"",(C33-C32)/C33)</f>
        <v>0</v>
      </c>
      <c r="E33" s="115">
        <v>90</v>
      </c>
      <c r="F33" s="25">
        <f t="shared" si="0"/>
        <v>0</v>
      </c>
      <c r="G33" s="112">
        <f>IF(ISERROR(G32+(G32*F33)),"",G32+(G32*F33))</f>
        <v>72096.777330775847</v>
      </c>
      <c r="I33" s="9"/>
    </row>
    <row r="34" spans="2:9" x14ac:dyDescent="0.25">
      <c r="B34" s="96">
        <v>2020</v>
      </c>
      <c r="C34" s="117">
        <v>90618</v>
      </c>
      <c r="D34" s="23">
        <f t="shared" ref="D34:D43" si="3">IF(ISERROR((C34-C33)/C34),"",(C34-C33)/C34)</f>
        <v>1.666663888953049E-6</v>
      </c>
      <c r="E34" s="115">
        <v>90</v>
      </c>
      <c r="F34" s="25">
        <f t="shared" si="0"/>
        <v>1.4999975000577442E-6</v>
      </c>
      <c r="G34" s="112">
        <f t="shared" ref="G34:G43" si="4">IF(ISERROR(G33+(G33*F34)),"",G33+(G33*F34))</f>
        <v>72096.885475761606</v>
      </c>
      <c r="I34" s="9"/>
    </row>
    <row r="35" spans="2:9" x14ac:dyDescent="0.25">
      <c r="B35" s="96">
        <v>2021</v>
      </c>
      <c r="C35" s="117">
        <v>91625</v>
      </c>
      <c r="D35" s="23">
        <f t="shared" si="3"/>
        <v>1.0990450204638472E-2</v>
      </c>
      <c r="E35" s="115">
        <v>91</v>
      </c>
      <c r="F35" s="25">
        <f t="shared" si="0"/>
        <v>1.0001309686221009E-2</v>
      </c>
      <c r="G35" s="112">
        <f t="shared" si="4"/>
        <v>72817.948754816709</v>
      </c>
      <c r="I35" s="9"/>
    </row>
    <row r="36" spans="2:9" x14ac:dyDescent="0.25">
      <c r="B36" s="96">
        <v>2022</v>
      </c>
      <c r="C36" s="117">
        <f>IF(E36&gt;0,C35*(E36/E35),"")</f>
        <v>91625</v>
      </c>
      <c r="D36" s="23">
        <f t="shared" si="3"/>
        <v>0</v>
      </c>
      <c r="E36" s="115">
        <v>91</v>
      </c>
      <c r="F36" s="25">
        <f t="shared" si="0"/>
        <v>0</v>
      </c>
      <c r="G36" s="112">
        <f t="shared" si="4"/>
        <v>72817.948754816709</v>
      </c>
      <c r="I36" s="9"/>
    </row>
    <row r="37" spans="2:9" x14ac:dyDescent="0.25">
      <c r="B37" s="96">
        <v>2023</v>
      </c>
      <c r="C37" s="117">
        <f>IF(E37&gt;0,C36*(E37/E36),"")</f>
        <v>91625</v>
      </c>
      <c r="D37" s="23">
        <f t="shared" si="3"/>
        <v>0</v>
      </c>
      <c r="E37" s="115">
        <v>91</v>
      </c>
      <c r="F37" s="25">
        <f t="shared" si="0"/>
        <v>0</v>
      </c>
      <c r="G37" s="112">
        <f t="shared" si="4"/>
        <v>72817.948754816709</v>
      </c>
      <c r="I37" s="9"/>
    </row>
    <row r="38" spans="2:9" x14ac:dyDescent="0.25">
      <c r="B38" s="96">
        <v>2024</v>
      </c>
      <c r="C38" s="117">
        <f t="shared" ref="C38:C43" si="5">IF(E38&gt;0,C37*(E38/E37),"")</f>
        <v>91625</v>
      </c>
      <c r="D38" s="23">
        <f t="shared" si="3"/>
        <v>0</v>
      </c>
      <c r="E38" s="115">
        <v>91</v>
      </c>
      <c r="F38" s="25">
        <f t="shared" si="0"/>
        <v>0</v>
      </c>
      <c r="G38" s="112">
        <f t="shared" si="4"/>
        <v>72817.948754816709</v>
      </c>
      <c r="I38" s="9"/>
    </row>
    <row r="39" spans="2:9" x14ac:dyDescent="0.25">
      <c r="B39" s="96">
        <v>2025</v>
      </c>
      <c r="C39" s="117" t="str">
        <f t="shared" si="5"/>
        <v/>
      </c>
      <c r="D39" s="23" t="str">
        <f t="shared" si="3"/>
        <v/>
      </c>
      <c r="E39" s="115"/>
      <c r="F39" s="25" t="str">
        <f t="shared" si="0"/>
        <v/>
      </c>
      <c r="G39" s="112" t="str">
        <f t="shared" si="4"/>
        <v/>
      </c>
      <c r="I39" s="9"/>
    </row>
    <row r="40" spans="2:9" x14ac:dyDescent="0.25">
      <c r="B40" s="96">
        <v>2026</v>
      </c>
      <c r="C40" s="117" t="str">
        <f t="shared" si="5"/>
        <v/>
      </c>
      <c r="D40" s="23" t="str">
        <f t="shared" si="3"/>
        <v/>
      </c>
      <c r="E40" s="115"/>
      <c r="F40" s="25" t="str">
        <f t="shared" si="0"/>
        <v/>
      </c>
      <c r="G40" s="112" t="str">
        <f t="shared" si="4"/>
        <v/>
      </c>
      <c r="I40" s="9"/>
    </row>
    <row r="41" spans="2:9" x14ac:dyDescent="0.25">
      <c r="B41" s="96">
        <v>2027</v>
      </c>
      <c r="C41" s="117" t="str">
        <f t="shared" si="5"/>
        <v/>
      </c>
      <c r="D41" s="23" t="str">
        <f t="shared" si="3"/>
        <v/>
      </c>
      <c r="E41" s="115"/>
      <c r="F41" s="25" t="str">
        <f t="shared" si="0"/>
        <v/>
      </c>
      <c r="G41" s="112" t="str">
        <f t="shared" si="4"/>
        <v/>
      </c>
    </row>
    <row r="42" spans="2:9" x14ac:dyDescent="0.25">
      <c r="B42" s="96">
        <v>2028</v>
      </c>
      <c r="C42" s="117" t="str">
        <f t="shared" si="5"/>
        <v/>
      </c>
      <c r="D42" s="23" t="str">
        <f t="shared" si="3"/>
        <v/>
      </c>
      <c r="E42" s="115"/>
      <c r="F42" s="25" t="str">
        <f t="shared" si="0"/>
        <v/>
      </c>
      <c r="G42" s="112" t="str">
        <f t="shared" si="4"/>
        <v/>
      </c>
    </row>
    <row r="43" spans="2:9" x14ac:dyDescent="0.25">
      <c r="B43" s="96">
        <v>2029</v>
      </c>
      <c r="C43" s="117" t="str">
        <f t="shared" si="5"/>
        <v/>
      </c>
      <c r="D43" s="23" t="str">
        <f t="shared" si="3"/>
        <v/>
      </c>
      <c r="E43" s="115"/>
      <c r="F43" s="25" t="str">
        <f t="shared" si="0"/>
        <v/>
      </c>
      <c r="G43" s="112" t="str">
        <f t="shared" si="4"/>
        <v/>
      </c>
    </row>
  </sheetData>
  <sheetProtection algorithmName="SHA-512" hashValue="tR80Hvdqmys+nQV/u/T21PzuKcbou/h6atJSrmjFkV42lyW2fC9AH2enNs8KuC0VLB2Q0w1BHuytMrl0B72xpA==" saltValue="LJgU49X//1LKlguYbVq/1w==" spinCount="100000" sheet="1" selectLockedCells="1"/>
  <pageMargins left="0.7" right="0.7" top="0.75" bottom="0.75" header="0.3" footer="0.3"/>
  <pageSetup scale="82" orientation="landscape" r:id="rId1"/>
  <headerFooter>
    <oddFooter>&amp;R&amp;Z&amp;F - &amp;A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Q32"/>
  <sheetViews>
    <sheetView showGridLines="0" zoomScaleNormal="100" workbookViewId="0">
      <selection activeCell="B2" sqref="B2:C2"/>
    </sheetView>
  </sheetViews>
  <sheetFormatPr defaultColWidth="9.140625" defaultRowHeight="15" x14ac:dyDescent="0.25"/>
  <cols>
    <col min="1" max="1" width="45.85546875" style="65" bestFit="1" customWidth="1"/>
    <col min="2" max="17" width="10.7109375" style="65" customWidth="1"/>
    <col min="18" max="16384" width="9.140625" style="65"/>
  </cols>
  <sheetData>
    <row r="1" spans="1:17" x14ac:dyDescent="0.25">
      <c r="A1" s="64"/>
    </row>
    <row r="2" spans="1:17" ht="30.75" customHeight="1" x14ac:dyDescent="0.25">
      <c r="A2" s="84" t="s">
        <v>85</v>
      </c>
      <c r="B2" s="119"/>
      <c r="C2" s="120"/>
    </row>
    <row r="3" spans="1:17" ht="16.5" customHeight="1" x14ac:dyDescent="0.25">
      <c r="A3"/>
      <c r="B3"/>
    </row>
    <row r="4" spans="1:17" x14ac:dyDescent="0.25">
      <c r="A4" s="66" t="s">
        <v>18</v>
      </c>
      <c r="B4" s="90">
        <v>10000</v>
      </c>
      <c r="N4" s="1" t="s">
        <v>65</v>
      </c>
    </row>
    <row r="5" spans="1:17" x14ac:dyDescent="0.25">
      <c r="A5" s="67" t="s">
        <v>19</v>
      </c>
      <c r="B5" s="90">
        <v>100</v>
      </c>
      <c r="N5" s="1" t="s">
        <v>66</v>
      </c>
    </row>
    <row r="6" spans="1:17" x14ac:dyDescent="0.25">
      <c r="A6" s="67" t="s">
        <v>20</v>
      </c>
      <c r="B6" s="68">
        <f>IF(B5=0,"",ROUND(B4/B5,0))</f>
        <v>100</v>
      </c>
      <c r="N6" s="1" t="s">
        <v>67</v>
      </c>
    </row>
    <row r="7" spans="1:17" x14ac:dyDescent="0.25">
      <c r="A7" s="67" t="s">
        <v>21</v>
      </c>
      <c r="B7" s="69">
        <f>Q17</f>
        <v>100</v>
      </c>
    </row>
    <row r="8" spans="1:17" x14ac:dyDescent="0.25">
      <c r="A8" s="67" t="s">
        <v>73</v>
      </c>
      <c r="B8" s="91">
        <v>2000</v>
      </c>
    </row>
    <row r="9" spans="1:17" x14ac:dyDescent="0.25">
      <c r="A9" s="67" t="s">
        <v>74</v>
      </c>
      <c r="B9" s="90">
        <v>100</v>
      </c>
    </row>
    <row r="10" spans="1:17" x14ac:dyDescent="0.25">
      <c r="A10" s="2"/>
      <c r="B10" s="2"/>
    </row>
    <row r="11" spans="1:17" x14ac:dyDescent="0.25">
      <c r="A11" s="6" t="s">
        <v>63</v>
      </c>
      <c r="B11">
        <v>1</v>
      </c>
      <c r="C11">
        <f>+B11+1</f>
        <v>2</v>
      </c>
      <c r="D11">
        <f t="shared" ref="D11:Q11" si="0">+C11+1</f>
        <v>3</v>
      </c>
      <c r="E11">
        <f t="shared" si="0"/>
        <v>4</v>
      </c>
      <c r="F11">
        <f t="shared" si="0"/>
        <v>5</v>
      </c>
      <c r="G11">
        <f t="shared" si="0"/>
        <v>6</v>
      </c>
      <c r="H11">
        <f t="shared" si="0"/>
        <v>7</v>
      </c>
      <c r="I11">
        <f t="shared" si="0"/>
        <v>8</v>
      </c>
      <c r="J11">
        <f t="shared" si="0"/>
        <v>9</v>
      </c>
      <c r="K11">
        <f t="shared" si="0"/>
        <v>10</v>
      </c>
      <c r="L11">
        <f t="shared" si="0"/>
        <v>11</v>
      </c>
      <c r="M11">
        <f t="shared" si="0"/>
        <v>12</v>
      </c>
      <c r="N11">
        <f t="shared" si="0"/>
        <v>13</v>
      </c>
      <c r="O11">
        <f t="shared" si="0"/>
        <v>14</v>
      </c>
      <c r="P11">
        <f t="shared" si="0"/>
        <v>15</v>
      </c>
      <c r="Q11">
        <f t="shared" si="0"/>
        <v>16</v>
      </c>
    </row>
    <row r="12" spans="1:17" x14ac:dyDescent="0.25">
      <c r="A12" s="70" t="s">
        <v>56</v>
      </c>
      <c r="B12" s="92" t="s">
        <v>66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x14ac:dyDescent="0.25">
      <c r="A13" s="3" t="s">
        <v>69</v>
      </c>
      <c r="B13" s="93">
        <v>2022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x14ac:dyDescent="0.25">
      <c r="A14" s="4" t="s">
        <v>57</v>
      </c>
      <c r="B14" s="90">
        <v>100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7" x14ac:dyDescent="0.25">
      <c r="A15" s="5"/>
      <c r="B15"/>
    </row>
    <row r="16" spans="1:17" x14ac:dyDescent="0.25">
      <c r="A16" s="7" t="s">
        <v>64</v>
      </c>
      <c r="B16" s="5"/>
      <c r="C16"/>
    </row>
    <row r="17" spans="1:17" x14ac:dyDescent="0.25">
      <c r="A17" s="3" t="s">
        <v>24</v>
      </c>
      <c r="B17" s="87">
        <f>IF(B12="Addition",B9+B14,B9)</f>
        <v>100</v>
      </c>
      <c r="C17" s="85">
        <f>IF(C12="Addition",B17+C14,B17)</f>
        <v>100</v>
      </c>
      <c r="D17" s="85">
        <f t="shared" ref="D17:Q17" si="1">IF(D12="Addition",C17+D14,C17)</f>
        <v>100</v>
      </c>
      <c r="E17" s="85">
        <f t="shared" si="1"/>
        <v>100</v>
      </c>
      <c r="F17" s="85">
        <f t="shared" si="1"/>
        <v>100</v>
      </c>
      <c r="G17" s="85">
        <f t="shared" si="1"/>
        <v>100</v>
      </c>
      <c r="H17" s="85">
        <f t="shared" si="1"/>
        <v>100</v>
      </c>
      <c r="I17" s="85">
        <f t="shared" si="1"/>
        <v>100</v>
      </c>
      <c r="J17" s="85">
        <f t="shared" si="1"/>
        <v>100</v>
      </c>
      <c r="K17" s="85">
        <f t="shared" si="1"/>
        <v>100</v>
      </c>
      <c r="L17" s="85">
        <f t="shared" si="1"/>
        <v>100</v>
      </c>
      <c r="M17" s="85">
        <f t="shared" si="1"/>
        <v>100</v>
      </c>
      <c r="N17" s="85">
        <f t="shared" si="1"/>
        <v>100</v>
      </c>
      <c r="O17" s="85">
        <f t="shared" si="1"/>
        <v>100</v>
      </c>
      <c r="P17" s="85">
        <f t="shared" si="1"/>
        <v>100</v>
      </c>
      <c r="Q17" s="85">
        <f t="shared" si="1"/>
        <v>100</v>
      </c>
    </row>
    <row r="18" spans="1:17" x14ac:dyDescent="0.25">
      <c r="A18" s="67" t="s">
        <v>25</v>
      </c>
      <c r="B18" s="85">
        <f>IF(B12&lt;&gt;"",B13-B8,"")</f>
        <v>22</v>
      </c>
      <c r="C18" s="85" t="str">
        <f>IF(C12&lt;&gt;"",C13-MAX(B23:B25),"")</f>
        <v/>
      </c>
      <c r="D18" s="85" t="str">
        <f t="shared" ref="D18:Q18" si="2">IF(D12&lt;&gt;"",D13-MAX(C23:C25),"")</f>
        <v/>
      </c>
      <c r="E18" s="85" t="str">
        <f t="shared" si="2"/>
        <v/>
      </c>
      <c r="F18" s="85" t="str">
        <f t="shared" si="2"/>
        <v/>
      </c>
      <c r="G18" s="85" t="str">
        <f t="shared" si="2"/>
        <v/>
      </c>
      <c r="H18" s="85" t="str">
        <f t="shared" si="2"/>
        <v/>
      </c>
      <c r="I18" s="85" t="str">
        <f t="shared" si="2"/>
        <v/>
      </c>
      <c r="J18" s="85" t="str">
        <f t="shared" si="2"/>
        <v/>
      </c>
      <c r="K18" s="85" t="str">
        <f t="shared" si="2"/>
        <v/>
      </c>
      <c r="L18" s="85" t="str">
        <f t="shared" si="2"/>
        <v/>
      </c>
      <c r="M18" s="85" t="str">
        <f t="shared" si="2"/>
        <v/>
      </c>
      <c r="N18" s="85" t="str">
        <f t="shared" si="2"/>
        <v/>
      </c>
      <c r="O18" s="85" t="str">
        <f t="shared" si="2"/>
        <v/>
      </c>
      <c r="P18" s="85" t="str">
        <f t="shared" si="2"/>
        <v/>
      </c>
      <c r="Q18" s="85" t="str">
        <f t="shared" si="2"/>
        <v/>
      </c>
    </row>
    <row r="19" spans="1:17" x14ac:dyDescent="0.25">
      <c r="A19" s="71" t="s">
        <v>26</v>
      </c>
      <c r="B19" s="85" t="str">
        <f t="shared" ref="B19:Q19" si="3">IF(B12="Renovation",VLOOKUP(B13,PerBedVal,7,FALSE),"")</f>
        <v/>
      </c>
      <c r="C19" s="85" t="str">
        <f t="shared" si="3"/>
        <v/>
      </c>
      <c r="D19" s="85" t="str">
        <f t="shared" si="3"/>
        <v/>
      </c>
      <c r="E19" s="85" t="str">
        <f t="shared" si="3"/>
        <v/>
      </c>
      <c r="F19" s="85" t="str">
        <f t="shared" si="3"/>
        <v/>
      </c>
      <c r="G19" s="85" t="str">
        <f t="shared" si="3"/>
        <v/>
      </c>
      <c r="H19" s="85" t="str">
        <f t="shared" si="3"/>
        <v/>
      </c>
      <c r="I19" s="85" t="str">
        <f t="shared" si="3"/>
        <v/>
      </c>
      <c r="J19" s="85" t="str">
        <f t="shared" si="3"/>
        <v/>
      </c>
      <c r="K19" s="85" t="str">
        <f t="shared" si="3"/>
        <v/>
      </c>
      <c r="L19" s="85" t="str">
        <f t="shared" si="3"/>
        <v/>
      </c>
      <c r="M19" s="85" t="str">
        <f t="shared" si="3"/>
        <v/>
      </c>
      <c r="N19" s="85" t="str">
        <f t="shared" si="3"/>
        <v/>
      </c>
      <c r="O19" s="85" t="str">
        <f t="shared" si="3"/>
        <v/>
      </c>
      <c r="P19" s="85" t="str">
        <f t="shared" si="3"/>
        <v/>
      </c>
      <c r="Q19" s="85" t="str">
        <f t="shared" si="3"/>
        <v/>
      </c>
    </row>
    <row r="20" spans="1:17" x14ac:dyDescent="0.25">
      <c r="A20" s="72" t="s">
        <v>27</v>
      </c>
      <c r="B20" s="73" t="str">
        <f>IF(B12="Renovation",InputDeprRate,"")</f>
        <v/>
      </c>
      <c r="C20" s="73" t="str">
        <f>IF(C12="Renovation",InputDeprRate,"")</f>
        <v/>
      </c>
      <c r="D20" s="73" t="str">
        <f t="shared" ref="D20:Q20" si="4">IF(D12="Renovation",InputDeprRate,"")</f>
        <v/>
      </c>
      <c r="E20" s="73" t="str">
        <f t="shared" si="4"/>
        <v/>
      </c>
      <c r="F20" s="73" t="str">
        <f t="shared" si="4"/>
        <v/>
      </c>
      <c r="G20" s="73" t="str">
        <f t="shared" si="4"/>
        <v/>
      </c>
      <c r="H20" s="73" t="str">
        <f t="shared" si="4"/>
        <v/>
      </c>
      <c r="I20" s="73" t="str">
        <f t="shared" si="4"/>
        <v/>
      </c>
      <c r="J20" s="73" t="str">
        <f t="shared" si="4"/>
        <v/>
      </c>
      <c r="K20" s="73" t="str">
        <f t="shared" si="4"/>
        <v/>
      </c>
      <c r="L20" s="73" t="str">
        <f t="shared" si="4"/>
        <v/>
      </c>
      <c r="M20" s="73" t="str">
        <f t="shared" si="4"/>
        <v/>
      </c>
      <c r="N20" s="73" t="str">
        <f t="shared" si="4"/>
        <v/>
      </c>
      <c r="O20" s="73" t="str">
        <f t="shared" si="4"/>
        <v/>
      </c>
      <c r="P20" s="73" t="str">
        <f t="shared" si="4"/>
        <v/>
      </c>
      <c r="Q20" s="73" t="str">
        <f t="shared" si="4"/>
        <v/>
      </c>
    </row>
    <row r="21" spans="1:17" x14ac:dyDescent="0.25">
      <c r="A21" s="72" t="s">
        <v>10</v>
      </c>
      <c r="B21" s="85" t="str">
        <f>IF(B12="Renovation",(B18*B19*B20),"")</f>
        <v/>
      </c>
      <c r="C21" s="85" t="str">
        <f>IF(C12="Renovation",(C18*C19*C20),"")</f>
        <v/>
      </c>
      <c r="D21" s="85" t="str">
        <f t="shared" ref="D21:Q21" si="5">IF(D12="Renovation",(D18*D19*D20),"")</f>
        <v/>
      </c>
      <c r="E21" s="85" t="str">
        <f t="shared" si="5"/>
        <v/>
      </c>
      <c r="F21" s="85" t="str">
        <f t="shared" si="5"/>
        <v/>
      </c>
      <c r="G21" s="85" t="str">
        <f t="shared" si="5"/>
        <v/>
      </c>
      <c r="H21" s="85" t="str">
        <f t="shared" si="5"/>
        <v/>
      </c>
      <c r="I21" s="85" t="str">
        <f t="shared" si="5"/>
        <v/>
      </c>
      <c r="J21" s="85" t="str">
        <f t="shared" si="5"/>
        <v/>
      </c>
      <c r="K21" s="85" t="str">
        <f t="shared" si="5"/>
        <v/>
      </c>
      <c r="L21" s="85" t="str">
        <f t="shared" si="5"/>
        <v/>
      </c>
      <c r="M21" s="85" t="str">
        <f t="shared" si="5"/>
        <v/>
      </c>
      <c r="N21" s="85" t="str">
        <f t="shared" si="5"/>
        <v/>
      </c>
      <c r="O21" s="85" t="str">
        <f t="shared" si="5"/>
        <v/>
      </c>
      <c r="P21" s="85" t="str">
        <f t="shared" si="5"/>
        <v/>
      </c>
      <c r="Q21" s="85" t="str">
        <f t="shared" si="5"/>
        <v/>
      </c>
    </row>
    <row r="22" spans="1:17" x14ac:dyDescent="0.25">
      <c r="A22" s="74" t="s">
        <v>28</v>
      </c>
      <c r="B22" s="85" t="str">
        <f t="shared" ref="B22:G22" si="6">IF(B12="Renovation",MIN((B14/IF(B13&lt;2020,B21,B19)),B17),"")</f>
        <v/>
      </c>
      <c r="C22" s="85" t="str">
        <f t="shared" si="6"/>
        <v/>
      </c>
      <c r="D22" s="85" t="str">
        <f t="shared" si="6"/>
        <v/>
      </c>
      <c r="E22" s="85" t="str">
        <f t="shared" si="6"/>
        <v/>
      </c>
      <c r="F22" s="85" t="str">
        <f t="shared" si="6"/>
        <v/>
      </c>
      <c r="G22" s="85" t="str">
        <f t="shared" si="6"/>
        <v/>
      </c>
      <c r="H22" s="85" t="str">
        <f t="shared" ref="H22:Q22" si="7">IF(H12="Renovation",MIN((H14/H21),H17),"")</f>
        <v/>
      </c>
      <c r="I22" s="85" t="str">
        <f t="shared" si="7"/>
        <v/>
      </c>
      <c r="J22" s="85" t="str">
        <f t="shared" si="7"/>
        <v/>
      </c>
      <c r="K22" s="85" t="str">
        <f t="shared" si="7"/>
        <v/>
      </c>
      <c r="L22" s="85" t="str">
        <f t="shared" si="7"/>
        <v/>
      </c>
      <c r="M22" s="85" t="str">
        <f t="shared" si="7"/>
        <v/>
      </c>
      <c r="N22" s="85" t="str">
        <f t="shared" si="7"/>
        <v/>
      </c>
      <c r="O22" s="85" t="str">
        <f t="shared" si="7"/>
        <v/>
      </c>
      <c r="P22" s="85" t="str">
        <f t="shared" si="7"/>
        <v/>
      </c>
      <c r="Q22" s="85" t="str">
        <f t="shared" si="7"/>
        <v/>
      </c>
    </row>
    <row r="23" spans="1:17" x14ac:dyDescent="0.25">
      <c r="A23" s="3" t="s">
        <v>29</v>
      </c>
      <c r="B23" s="75" t="str">
        <f>IF(B12="Addition",IF(((B9*B18)/B17)&lt;0,B13,ROUND(B13-((B9*B18)/B17),0)),"")</f>
        <v/>
      </c>
      <c r="C23" s="76" t="str">
        <f>IF(C12="Addition",IF(((B17*C18)/C17)&lt;0,C13,ROUND(C13-((B17*C18)/C17),0)),"")</f>
        <v/>
      </c>
      <c r="D23" s="76" t="str">
        <f t="shared" ref="D23:Q23" si="8">IF(D12="Addition",IF(((C17*D18)/D17)&lt;0,D13,ROUND(D13-((C17*D18)/D17),0)),"")</f>
        <v/>
      </c>
      <c r="E23" s="76" t="str">
        <f t="shared" si="8"/>
        <v/>
      </c>
      <c r="F23" s="76" t="str">
        <f t="shared" si="8"/>
        <v/>
      </c>
      <c r="G23" s="76" t="str">
        <f t="shared" si="8"/>
        <v/>
      </c>
      <c r="H23" s="76" t="str">
        <f t="shared" si="8"/>
        <v/>
      </c>
      <c r="I23" s="76" t="str">
        <f t="shared" si="8"/>
        <v/>
      </c>
      <c r="J23" s="76" t="str">
        <f t="shared" si="8"/>
        <v/>
      </c>
      <c r="K23" s="76" t="str">
        <f t="shared" si="8"/>
        <v/>
      </c>
      <c r="L23" s="76" t="str">
        <f t="shared" si="8"/>
        <v/>
      </c>
      <c r="M23" s="76" t="str">
        <f t="shared" si="8"/>
        <v/>
      </c>
      <c r="N23" s="76" t="str">
        <f t="shared" si="8"/>
        <v/>
      </c>
      <c r="O23" s="76" t="str">
        <f t="shared" si="8"/>
        <v/>
      </c>
      <c r="P23" s="76" t="str">
        <f t="shared" si="8"/>
        <v/>
      </c>
      <c r="Q23" s="77" t="str">
        <f t="shared" si="8"/>
        <v/>
      </c>
    </row>
    <row r="24" spans="1:17" x14ac:dyDescent="0.25">
      <c r="A24" s="3" t="s">
        <v>30</v>
      </c>
      <c r="B24" s="78">
        <f>IF(B12="Replacement",IF((((B9-B14)*B18)/B17)&lt;0,B13,ROUND((B13-((B9-B14)*B18)/B17),0)),"")</f>
        <v>2022</v>
      </c>
      <c r="C24" s="79" t="str">
        <f>IF(C12="Replacement",IF((((B17-C14)*C18)/C17)&lt;0,C13,ROUND((C13-((B17-C14)*C18)/C17),0)),"")</f>
        <v/>
      </c>
      <c r="D24" s="79" t="str">
        <f t="shared" ref="D24:Q24" si="9">IF(D12="Replacement",IF((((C17-D14)*D18)/D17)&lt;0,D13,ROUND((D13-((C17-D14)*D18)/D17),0)),"")</f>
        <v/>
      </c>
      <c r="E24" s="79" t="str">
        <f t="shared" si="9"/>
        <v/>
      </c>
      <c r="F24" s="79" t="str">
        <f t="shared" si="9"/>
        <v/>
      </c>
      <c r="G24" s="79" t="str">
        <f t="shared" si="9"/>
        <v/>
      </c>
      <c r="H24" s="79" t="str">
        <f t="shared" si="9"/>
        <v/>
      </c>
      <c r="I24" s="79" t="str">
        <f t="shared" si="9"/>
        <v/>
      </c>
      <c r="J24" s="79" t="str">
        <f t="shared" si="9"/>
        <v/>
      </c>
      <c r="K24" s="79" t="str">
        <f t="shared" si="9"/>
        <v/>
      </c>
      <c r="L24" s="79" t="str">
        <f t="shared" si="9"/>
        <v/>
      </c>
      <c r="M24" s="79" t="str">
        <f t="shared" si="9"/>
        <v/>
      </c>
      <c r="N24" s="79" t="str">
        <f t="shared" si="9"/>
        <v/>
      </c>
      <c r="O24" s="79" t="str">
        <f t="shared" si="9"/>
        <v/>
      </c>
      <c r="P24" s="79" t="str">
        <f t="shared" si="9"/>
        <v/>
      </c>
      <c r="Q24" s="80" t="str">
        <f t="shared" si="9"/>
        <v/>
      </c>
    </row>
    <row r="25" spans="1:17" x14ac:dyDescent="0.25">
      <c r="A25" s="3" t="s">
        <v>31</v>
      </c>
      <c r="B25" s="81" t="str">
        <f>IF(B12="Renovation",IF((((B9-B22)*B18)/B17)&lt;0,B13,ROUND((B13-((B9-B22)*B18)/B17),0)),"")</f>
        <v/>
      </c>
      <c r="C25" s="82" t="str">
        <f>IF(C12="Renovation",IF((((B17-C22)*C18)/C17)&lt;0,C13,ROUND((C13-((B17-C22)*C18)/C17),0)),"")</f>
        <v/>
      </c>
      <c r="D25" s="82" t="str">
        <f t="shared" ref="D25:Q25" si="10">IF(D12="Renovation",IF((((C17-D22)*D18)/D17)&lt;0,D13,ROUND((D13-((C17-D22)*D18)/D17),0)),"")</f>
        <v/>
      </c>
      <c r="E25" s="82" t="str">
        <f t="shared" si="10"/>
        <v/>
      </c>
      <c r="F25" s="82" t="str">
        <f t="shared" si="10"/>
        <v/>
      </c>
      <c r="G25" s="82" t="str">
        <f t="shared" si="10"/>
        <v/>
      </c>
      <c r="H25" s="82" t="str">
        <f t="shared" si="10"/>
        <v/>
      </c>
      <c r="I25" s="82" t="str">
        <f t="shared" si="10"/>
        <v/>
      </c>
      <c r="J25" s="82" t="str">
        <f t="shared" si="10"/>
        <v/>
      </c>
      <c r="K25" s="82" t="str">
        <f t="shared" si="10"/>
        <v/>
      </c>
      <c r="L25" s="82" t="str">
        <f t="shared" si="10"/>
        <v/>
      </c>
      <c r="M25" s="82" t="str">
        <f t="shared" si="10"/>
        <v/>
      </c>
      <c r="N25" s="82" t="str">
        <f t="shared" si="10"/>
        <v/>
      </c>
      <c r="O25" s="82" t="str">
        <f t="shared" si="10"/>
        <v/>
      </c>
      <c r="P25" s="82" t="str">
        <f t="shared" si="10"/>
        <v/>
      </c>
      <c r="Q25" s="83" t="str">
        <f t="shared" si="10"/>
        <v/>
      </c>
    </row>
    <row r="29" spans="1:17" x14ac:dyDescent="0.25">
      <c r="A29" s="70" t="s">
        <v>68</v>
      </c>
      <c r="B29" s="89">
        <f>Input!C4-MAX((B$8),B23:Q25)</f>
        <v>2</v>
      </c>
    </row>
    <row r="30" spans="1:17" x14ac:dyDescent="0.25">
      <c r="A30" s="70" t="s">
        <v>62</v>
      </c>
      <c r="B30" s="85">
        <f>IF(B29&gt;35,35,B29)</f>
        <v>2</v>
      </c>
    </row>
    <row r="31" spans="1:17" x14ac:dyDescent="0.25">
      <c r="B31" s="85"/>
    </row>
    <row r="32" spans="1:17" x14ac:dyDescent="0.25">
      <c r="A32" s="74" t="s">
        <v>77</v>
      </c>
      <c r="B32" s="88">
        <f>MAX(B8,B13:Q13)</f>
        <v>2022</v>
      </c>
    </row>
  </sheetData>
  <sheetProtection algorithmName="SHA-512" hashValue="AbszyaqKGpQj1+R/NU+7rlmKxkcRjp6FQ4SvProTC92sdBvI/Ony8gcHvPiY6J5yjw6/qj0EaX0w02IecNXajw==" saltValue="sJK1wenjxp6qR0ftQYdSlQ==" spinCount="100000" sheet="1" objects="1" scenarios="1" selectLockedCells="1"/>
  <mergeCells count="1">
    <mergeCell ref="B2:C2"/>
  </mergeCells>
  <dataValidations count="1">
    <dataValidation type="list" allowBlank="1" showInputMessage="1" showErrorMessage="1" sqref="B12:Q12" xr:uid="{00000000-0002-0000-0300-000000000000}">
      <formula1>$N$4:$N$6</formula1>
    </dataValidation>
  </dataValidations>
  <printOptions horizontalCentered="1"/>
  <pageMargins left="0.22" right="0.22" top="0.75" bottom="0.7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D22"/>
  <sheetViews>
    <sheetView showGridLines="0" zoomScaleNormal="100" workbookViewId="0">
      <selection activeCell="C4" sqref="C4"/>
    </sheetView>
  </sheetViews>
  <sheetFormatPr defaultColWidth="10" defaultRowHeight="15" x14ac:dyDescent="0.25"/>
  <cols>
    <col min="1" max="1" width="4.7109375" style="51" customWidth="1"/>
    <col min="2" max="2" width="47.28515625" bestFit="1" customWidth="1"/>
    <col min="3" max="3" width="21" customWidth="1"/>
    <col min="4" max="4" width="10.5703125" customWidth="1"/>
    <col min="5" max="5" width="11.42578125" customWidth="1"/>
    <col min="6" max="6" width="8.28515625" customWidth="1"/>
    <col min="7" max="7" width="13.5703125" customWidth="1"/>
    <col min="8" max="8" width="11.5703125" customWidth="1"/>
    <col min="9" max="9" width="10.5703125" customWidth="1"/>
    <col min="10" max="10" width="11.5703125" customWidth="1"/>
    <col min="11" max="11" width="12.140625" customWidth="1"/>
    <col min="12" max="12" width="6" customWidth="1"/>
    <col min="13" max="13" width="12.140625" customWidth="1"/>
    <col min="14" max="14" width="8.85546875" customWidth="1"/>
    <col min="15" max="15" width="13.42578125" customWidth="1"/>
    <col min="16" max="16" width="11.28515625" bestFit="1" customWidth="1"/>
    <col min="17" max="17" width="11.28515625" customWidth="1"/>
  </cols>
  <sheetData>
    <row r="1" spans="1:4" ht="18.75" x14ac:dyDescent="0.3">
      <c r="A1" s="63" t="s">
        <v>35</v>
      </c>
      <c r="D1" s="48"/>
    </row>
    <row r="2" spans="1:4" x14ac:dyDescent="0.25">
      <c r="A2" s="47"/>
      <c r="B2" s="49" t="s">
        <v>59</v>
      </c>
      <c r="C2" s="49" t="s">
        <v>60</v>
      </c>
      <c r="D2" s="50"/>
    </row>
    <row r="3" spans="1:4" ht="30" x14ac:dyDescent="0.25">
      <c r="A3" s="100">
        <v>1</v>
      </c>
      <c r="B3" s="52" t="s">
        <v>4</v>
      </c>
      <c r="C3" s="53" t="str">
        <f>IF('Capital Changes'!B2="","Enter facility name on Capital Changes tab",'Capital Changes'!B2)</f>
        <v>Enter facility name on Capital Changes tab</v>
      </c>
    </row>
    <row r="4" spans="1:4" x14ac:dyDescent="0.25">
      <c r="A4" s="100">
        <f>+A3+1</f>
        <v>2</v>
      </c>
      <c r="B4" s="52" t="s">
        <v>58</v>
      </c>
      <c r="C4" s="86" t="s">
        <v>59</v>
      </c>
    </row>
    <row r="5" spans="1:4" x14ac:dyDescent="0.25">
      <c r="A5" s="100">
        <f t="shared" ref="A5:A22" si="0">+A4+1</f>
        <v>3</v>
      </c>
      <c r="B5" s="52" t="s">
        <v>61</v>
      </c>
      <c r="C5" s="54">
        <f>'Capital Changes'!B32</f>
        <v>2022</v>
      </c>
    </row>
    <row r="6" spans="1:4" x14ac:dyDescent="0.25">
      <c r="A6" s="101">
        <f t="shared" si="0"/>
        <v>4</v>
      </c>
      <c r="B6" s="55" t="s">
        <v>5</v>
      </c>
      <c r="C6" s="56">
        <f ca="1">IFERROR(VLOOKUP(C5,RSMeans,6),IF(C11=35,VLOOKUP(YEAR(NOW())-35,PerBedVal,8,FALSE),VLOOKUP(C5,PerBedVal,8,FALSE)))</f>
        <v>72817.948754816709</v>
      </c>
    </row>
    <row r="7" spans="1:4" x14ac:dyDescent="0.25">
      <c r="A7" s="101">
        <f t="shared" si="0"/>
        <v>5</v>
      </c>
      <c r="B7" s="55" t="s">
        <v>6</v>
      </c>
      <c r="C7" s="56">
        <f ca="1">C6*0.1</f>
        <v>7281.7948754816716</v>
      </c>
    </row>
    <row r="8" spans="1:4" x14ac:dyDescent="0.25">
      <c r="A8" s="101">
        <f t="shared" si="0"/>
        <v>6</v>
      </c>
      <c r="B8" s="55" t="s">
        <v>7</v>
      </c>
      <c r="C8" s="56">
        <f ca="1">C6+C7</f>
        <v>80099.743630298384</v>
      </c>
    </row>
    <row r="9" spans="1:4" x14ac:dyDescent="0.25">
      <c r="A9" s="102">
        <f t="shared" si="0"/>
        <v>7</v>
      </c>
      <c r="B9" s="57" t="s">
        <v>39</v>
      </c>
      <c r="C9" s="56">
        <f>+'Capital Changes'!B17</f>
        <v>100</v>
      </c>
    </row>
    <row r="10" spans="1:4" x14ac:dyDescent="0.25">
      <c r="A10" s="101">
        <f t="shared" si="0"/>
        <v>8</v>
      </c>
      <c r="B10" s="55" t="s">
        <v>3</v>
      </c>
      <c r="C10" s="58">
        <f>Input!C10</f>
        <v>1.4999999999999999E-2</v>
      </c>
    </row>
    <row r="11" spans="1:4" x14ac:dyDescent="0.25">
      <c r="A11" s="101">
        <f t="shared" si="0"/>
        <v>9</v>
      </c>
      <c r="B11" s="55" t="s">
        <v>8</v>
      </c>
      <c r="C11" s="59">
        <f>'Capital Changes'!B30</f>
        <v>2</v>
      </c>
    </row>
    <row r="12" spans="1:4" x14ac:dyDescent="0.25">
      <c r="A12" s="101">
        <f t="shared" si="0"/>
        <v>10</v>
      </c>
      <c r="B12" s="55" t="s">
        <v>9</v>
      </c>
      <c r="C12" s="56">
        <f ca="1">C8*C9</f>
        <v>8009974.3630298385</v>
      </c>
    </row>
    <row r="13" spans="1:4" x14ac:dyDescent="0.25">
      <c r="A13" s="101">
        <f t="shared" si="0"/>
        <v>11</v>
      </c>
      <c r="B13" s="55" t="s">
        <v>10</v>
      </c>
      <c r="C13" s="59">
        <f ca="1">C12*C10*C11</f>
        <v>240299.23089089515</v>
      </c>
    </row>
    <row r="14" spans="1:4" x14ac:dyDescent="0.25">
      <c r="A14" s="101">
        <f t="shared" si="0"/>
        <v>12</v>
      </c>
      <c r="B14" s="55" t="s">
        <v>11</v>
      </c>
      <c r="C14" s="59">
        <f ca="1">C12-C13</f>
        <v>7769675.1321389433</v>
      </c>
    </row>
    <row r="15" spans="1:4" x14ac:dyDescent="0.25">
      <c r="A15" s="101">
        <f t="shared" si="0"/>
        <v>13</v>
      </c>
      <c r="B15" s="55" t="s">
        <v>12</v>
      </c>
      <c r="C15" s="56">
        <f ca="1">C7*C9</f>
        <v>728179.48754816712</v>
      </c>
    </row>
    <row r="16" spans="1:4" x14ac:dyDescent="0.25">
      <c r="A16" s="100">
        <f t="shared" si="0"/>
        <v>14</v>
      </c>
      <c r="B16" s="52" t="s">
        <v>13</v>
      </c>
      <c r="C16" s="59">
        <f ca="1">C14+C15</f>
        <v>8497854.6196871102</v>
      </c>
    </row>
    <row r="17" spans="1:3" x14ac:dyDescent="0.25">
      <c r="A17" s="101">
        <f t="shared" si="0"/>
        <v>15</v>
      </c>
      <c r="B17" s="55" t="s">
        <v>5</v>
      </c>
      <c r="C17" s="59">
        <f ca="1">C16/C9</f>
        <v>84978.546196871102</v>
      </c>
    </row>
    <row r="18" spans="1:3" x14ac:dyDescent="0.25">
      <c r="A18" s="101">
        <f t="shared" si="0"/>
        <v>16</v>
      </c>
      <c r="B18" s="55" t="s">
        <v>14</v>
      </c>
      <c r="C18" s="60">
        <f>Input!C6</f>
        <v>0.09</v>
      </c>
    </row>
    <row r="19" spans="1:3" x14ac:dyDescent="0.25">
      <c r="A19" s="100">
        <f t="shared" si="0"/>
        <v>17</v>
      </c>
      <c r="B19" s="52" t="s">
        <v>15</v>
      </c>
      <c r="C19" s="56">
        <f ca="1">C16*C18</f>
        <v>764806.91577183991</v>
      </c>
    </row>
    <row r="20" spans="1:3" x14ac:dyDescent="0.25">
      <c r="A20" s="101">
        <f t="shared" si="0"/>
        <v>18</v>
      </c>
      <c r="B20" s="55" t="s">
        <v>52</v>
      </c>
      <c r="C20" s="61"/>
    </row>
    <row r="21" spans="1:3" x14ac:dyDescent="0.25">
      <c r="A21" s="101">
        <f t="shared" si="0"/>
        <v>19</v>
      </c>
      <c r="B21" s="55" t="s">
        <v>16</v>
      </c>
      <c r="C21" s="56">
        <f>C9*365*IF(C4=B2,0.85,0.65)</f>
        <v>31025</v>
      </c>
    </row>
    <row r="22" spans="1:3" x14ac:dyDescent="0.25">
      <c r="A22" s="102">
        <f t="shared" si="0"/>
        <v>20</v>
      </c>
      <c r="B22" s="57" t="s">
        <v>75</v>
      </c>
      <c r="C22" s="62">
        <f ca="1">IF(C19/MAX(C20,C21)&lt;8,8,C19/MAX(C20,C21))</f>
        <v>24.651310742041577</v>
      </c>
    </row>
  </sheetData>
  <sheetProtection algorithmName="SHA-512" hashValue="0xOYjyLz5oB5R+jxW7rUoOuxMepCiUUVK/Fm+nwrt3DBHRkb2gmY5IZyZnbG/+qa5/aB2wEwvhbUvcm/8gjsNw==" saltValue="DFupYribCOVdbXLyzH1huA==" spinCount="100000" sheet="1" objects="1" scenarios="1" selectLockedCells="1"/>
  <dataValidations disablePrompts="1" count="1">
    <dataValidation type="list" allowBlank="1" showInputMessage="1" showErrorMessage="1" sqref="C4" xr:uid="{00000000-0002-0000-0400-000000000000}">
      <formula1>$B$2:$C$2</formula1>
    </dataValidation>
  </dataValidations>
  <printOptions horizontalCentered="1"/>
  <pageMargins left="0.19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88"/>
  <sheetViews>
    <sheetView showGridLines="0" zoomScale="115" zoomScaleNormal="115" workbookViewId="0">
      <pane ySplit="3" topLeftCell="A4" activePane="bottomLeft" state="frozen"/>
      <selection pane="bottomLeft" activeCell="K3" sqref="K3"/>
    </sheetView>
  </sheetViews>
  <sheetFormatPr defaultColWidth="8.85546875" defaultRowHeight="15" x14ac:dyDescent="0.25"/>
  <cols>
    <col min="1" max="1" width="9.85546875" style="32" customWidth="1"/>
    <col min="2" max="2" width="8.28515625" style="32" bestFit="1" customWidth="1"/>
    <col min="3" max="3" width="15.85546875" style="34" customWidth="1"/>
    <col min="4" max="4" width="7.28515625" style="34" bestFit="1" customWidth="1"/>
    <col min="5" max="5" width="9.5703125" style="9" bestFit="1" customWidth="1"/>
    <col min="6" max="7" width="11.140625" style="35" bestFit="1" customWidth="1"/>
    <col min="8" max="8" width="8.28515625" style="34" bestFit="1" customWidth="1"/>
    <col min="9" max="10" width="8.85546875" style="9"/>
    <col min="11" max="11" width="9.5703125" style="9" customWidth="1"/>
    <col min="12" max="12" width="13.7109375" style="9" customWidth="1"/>
    <col min="13" max="13" width="15.7109375" style="9" customWidth="1"/>
    <col min="14" max="14" width="9.85546875" style="9" bestFit="1" customWidth="1"/>
    <col min="15" max="15" width="10.85546875" style="9" bestFit="1" customWidth="1"/>
    <col min="16" max="16384" width="8.85546875" style="9"/>
  </cols>
  <sheetData>
    <row r="1" spans="1:12" x14ac:dyDescent="0.25">
      <c r="A1" s="33" t="s">
        <v>55</v>
      </c>
      <c r="B1" s="9"/>
      <c r="L1" s="36"/>
    </row>
    <row r="3" spans="1:12" s="42" customFormat="1" ht="30" x14ac:dyDescent="0.25">
      <c r="A3" s="37" t="s">
        <v>40</v>
      </c>
      <c r="B3" s="38" t="s">
        <v>44</v>
      </c>
      <c r="C3" s="39" t="s">
        <v>32</v>
      </c>
      <c r="D3" s="40" t="s">
        <v>33</v>
      </c>
      <c r="E3" s="40" t="s">
        <v>34</v>
      </c>
      <c r="F3" s="41" t="s">
        <v>42</v>
      </c>
      <c r="G3" s="41" t="s">
        <v>2</v>
      </c>
      <c r="H3" s="39" t="s">
        <v>45</v>
      </c>
    </row>
    <row r="4" spans="1:12" s="42" customFormat="1" x14ac:dyDescent="0.25">
      <c r="A4" s="43"/>
      <c r="B4" s="32"/>
      <c r="C4" s="44" t="str">
        <f>IF(tblPerBed[[#This Row],[3/4 Column]]="","",C5+((G5-G4)/G5))</f>
        <v/>
      </c>
      <c r="D4" s="45" t="str">
        <f t="shared" ref="D4:D9" si="0">C4</f>
        <v/>
      </c>
      <c r="E4" s="46" t="str">
        <f>IF(tblPerBed[[#This Row],[3/4 Column]]="","",ROUND((D4/D5)-1,4))</f>
        <v/>
      </c>
      <c r="F4" s="35" t="str">
        <f>IF(_xlfn.XLOOKUP(tblPerBed[[#This Row],[July 1 of:]],tblInput[Year],tblInput[3/4 Column],0)&gt;0,_xlfn.XLOOKUP(tblPerBed[[#This Row],[July 1 of:]],tblInput[Year],tblInput[3/4 Column],0),"")</f>
        <v/>
      </c>
      <c r="G4" s="35" t="str">
        <f>IF(_xlfn.XLOOKUP(tblPerBed[[#This Row],[July 1 of:]],tblInput[Year],tblInput[Capital Cost per Bed],0)&gt;0,_xlfn.XLOOKUP(tblPerBed[[#This Row],[July 1 of:]],tblInput[Year],tblInput[Capital Cost per Bed],0),"")</f>
        <v/>
      </c>
      <c r="H4" s="39"/>
    </row>
    <row r="5" spans="1:12" x14ac:dyDescent="0.25">
      <c r="A5" s="43">
        <v>2023</v>
      </c>
      <c r="B5" s="32">
        <f t="shared" ref="B5:B14" si="1">B4+1</f>
        <v>1</v>
      </c>
      <c r="C5" s="44">
        <f>IF(tblPerBed[[#This Row],[3/4 Column]]="","",C6+((G6-G5)/G6))</f>
        <v>137.99216499364746</v>
      </c>
      <c r="D5" s="45">
        <f t="shared" si="0"/>
        <v>137.99216499364746</v>
      </c>
      <c r="E5" s="46">
        <f>IF(tblPerBed[[#This Row],[3/4 Column]]="","",ROUND((D5/D6)-1,4))</f>
        <v>0</v>
      </c>
      <c r="F5" s="35">
        <f>IF(_xlfn.XLOOKUP(tblPerBed[[#This Row],[July 1 of:]],tblInput[Year],tblInput[3/4 Column],0)&gt;0,_xlfn.XLOOKUP(tblPerBed[[#This Row],[July 1 of:]],tblInput[Year],tblInput[3/4 Column],0),"")</f>
        <v>91625</v>
      </c>
      <c r="G5" s="35">
        <f>IF(_xlfn.XLOOKUP(tblPerBed[[#This Row],[July 1 of:]],tblInput[Year],tblInput[Capital Cost per Bed],0)&gt;0,_xlfn.XLOOKUP(tblPerBed[[#This Row],[July 1 of:]],tblInput[Year],tblInput[Capital Cost per Bed],0),"")</f>
        <v>72817.948754816709</v>
      </c>
      <c r="H5" s="39"/>
    </row>
    <row r="6" spans="1:12" x14ac:dyDescent="0.25">
      <c r="A6" s="43">
        <f>+A5-1</f>
        <v>2022</v>
      </c>
      <c r="B6" s="32">
        <f t="shared" si="1"/>
        <v>2</v>
      </c>
      <c r="C6" s="44">
        <f>IF(tblPerBed[[#This Row],[3/4 Column]]="","",C7+((G7-G6)/G7))</f>
        <v>137.99216499364746</v>
      </c>
      <c r="D6" s="45">
        <f t="shared" si="0"/>
        <v>137.99216499364746</v>
      </c>
      <c r="E6" s="46">
        <f>IF(tblPerBed[[#This Row],[3/4 Column]]="","",ROUND((D6/D7)-1,4))</f>
        <v>0</v>
      </c>
      <c r="F6" s="35">
        <f>IF(_xlfn.XLOOKUP(tblPerBed[[#This Row],[July 1 of:]],tblInput[Year],tblInput[3/4 Column],0)&gt;0,_xlfn.XLOOKUP(tblPerBed[[#This Row],[July 1 of:]],tblInput[Year],tblInput[3/4 Column],0),"")</f>
        <v>91625</v>
      </c>
      <c r="G6" s="35">
        <f>IF(_xlfn.XLOOKUP(tblPerBed[[#This Row],[July 1 of:]],tblInput[Year],tblInput[Capital Cost per Bed],0)&gt;0,_xlfn.XLOOKUP(tblPerBed[[#This Row],[July 1 of:]],tblInput[Year],tblInput[Capital Cost per Bed],0),"")</f>
        <v>72817.948754816709</v>
      </c>
      <c r="H6" s="39"/>
    </row>
    <row r="7" spans="1:12" x14ac:dyDescent="0.25">
      <c r="A7" s="43">
        <f t="shared" ref="A7:A24" si="2">+A6-1</f>
        <v>2021</v>
      </c>
      <c r="B7" s="32">
        <f t="shared" si="1"/>
        <v>3</v>
      </c>
      <c r="C7" s="44">
        <f>IF(tblPerBed[[#This Row],[3/4 Column]]="","",C8+((G8-G7)/G8))</f>
        <v>137.99216499364746</v>
      </c>
      <c r="D7" s="45">
        <f t="shared" si="0"/>
        <v>137.99216499364746</v>
      </c>
      <c r="E7" s="46">
        <f>IF(tblPerBed[[#This Row],[3/4 Column]]="","",ROUND((D7/D8)-1,4))</f>
        <v>-1E-4</v>
      </c>
      <c r="F7" s="35">
        <f>IF(_xlfn.XLOOKUP(tblPerBed[[#This Row],[July 1 of:]],tblInput[Year],tblInput[3/4 Column],0)&gt;0,_xlfn.XLOOKUP(tblPerBed[[#This Row],[July 1 of:]],tblInput[Year],tblInput[3/4 Column],0),"")</f>
        <v>91625</v>
      </c>
      <c r="G7" s="35">
        <f>IF(_xlfn.XLOOKUP(tblPerBed[[#This Row],[July 1 of:]],tblInput[Year],tblInput[Capital Cost per Bed],0)&gt;0,_xlfn.XLOOKUP(tblPerBed[[#This Row],[July 1 of:]],tblInput[Year],tblInput[Capital Cost per Bed],0),"")</f>
        <v>72817.948754816709</v>
      </c>
      <c r="H7" s="39"/>
    </row>
    <row r="8" spans="1:12" x14ac:dyDescent="0.25">
      <c r="A8" s="43">
        <f t="shared" si="2"/>
        <v>2020</v>
      </c>
      <c r="B8" s="32">
        <f t="shared" si="1"/>
        <v>4</v>
      </c>
      <c r="C8" s="44">
        <f>IF(tblPerBed[[#This Row],[3/4 Column]]="","",C9+((G9-G8)/G9))</f>
        <v>138.00216630333369</v>
      </c>
      <c r="D8" s="45">
        <f t="shared" si="0"/>
        <v>138.00216630333369</v>
      </c>
      <c r="E8" s="46">
        <f>IF(tblPerBed[[#This Row],[3/4 Column]]="","",ROUND((D8/D9)-1,4))</f>
        <v>0</v>
      </c>
      <c r="F8" s="35">
        <f>IF(_xlfn.XLOOKUP(tblPerBed[[#This Row],[July 1 of:]],tblInput[Year],tblInput[3/4 Column],0)&gt;0,_xlfn.XLOOKUP(tblPerBed[[#This Row],[July 1 of:]],tblInput[Year],tblInput[3/4 Column],0),"")</f>
        <v>90618</v>
      </c>
      <c r="G8" s="35">
        <f>IF(_xlfn.XLOOKUP(tblPerBed[[#This Row],[July 1 of:]],tblInput[Year],tblInput[Capital Cost per Bed],0)&gt;0,_xlfn.XLOOKUP(tblPerBed[[#This Row],[July 1 of:]],tblInput[Year],tblInput[Capital Cost per Bed],0),"")</f>
        <v>72096.885475761606</v>
      </c>
      <c r="H8" s="39"/>
    </row>
    <row r="9" spans="1:12" x14ac:dyDescent="0.25">
      <c r="A9" s="43">
        <f t="shared" si="2"/>
        <v>2019</v>
      </c>
      <c r="B9" s="32">
        <f t="shared" si="1"/>
        <v>5</v>
      </c>
      <c r="C9" s="44">
        <f>IF(tblPerBed[[#This Row],[3/4 Column]]="","",C10+((G10-G9)/G10))</f>
        <v>138.00216780333119</v>
      </c>
      <c r="D9" s="45">
        <f t="shared" si="0"/>
        <v>138.00216780333119</v>
      </c>
      <c r="E9" s="46">
        <f>IF(tblPerBed[[#This Row],[3/4 Column]]="","",ROUND((D9/D10)-1,4))</f>
        <v>0</v>
      </c>
      <c r="F9" s="35">
        <f>IF(_xlfn.XLOOKUP(tblPerBed[[#This Row],[July 1 of:]],tblInput[Year],tblInput[3/4 Column],0)&gt;0,_xlfn.XLOOKUP(tblPerBed[[#This Row],[July 1 of:]],tblInput[Year],tblInput[3/4 Column],0),"")</f>
        <v>90617.848970251711</v>
      </c>
      <c r="G9" s="35">
        <f>IF(_xlfn.XLOOKUP(tblPerBed[[#This Row],[July 1 of:]],tblInput[Year],tblInput[Capital Cost per Bed],0)&gt;0,_xlfn.XLOOKUP(tblPerBed[[#This Row],[July 1 of:]],tblInput[Year],tblInput[Capital Cost per Bed],0),"")</f>
        <v>72096.777330775847</v>
      </c>
      <c r="H9" s="39"/>
    </row>
    <row r="10" spans="1:12" x14ac:dyDescent="0.25">
      <c r="A10" s="43">
        <f t="shared" si="2"/>
        <v>2018</v>
      </c>
      <c r="B10" s="32">
        <f t="shared" si="1"/>
        <v>6</v>
      </c>
      <c r="C10" s="44">
        <f>IF(tblPerBed[[#This Row],[3/4 Column]]="","",C11+((G11-G10)/G11))</f>
        <v>138.00216780333119</v>
      </c>
      <c r="D10" s="45">
        <f t="shared" ref="D10:D41" si="3">C10</f>
        <v>138.00216780333119</v>
      </c>
      <c r="E10" s="46">
        <f>IF(tblPerBed[[#This Row],[3/4 Column]]="","",ROUND((D10/D11)-1,4))</f>
        <v>-1E-4</v>
      </c>
      <c r="F10" s="35">
        <f>IF(_xlfn.XLOOKUP(tblPerBed[[#This Row],[July 1 of:]],tblInput[Year],tblInput[3/4 Column],0)&gt;0,_xlfn.XLOOKUP(tblPerBed[[#This Row],[July 1 of:]],tblInput[Year],tblInput[3/4 Column],0),"")</f>
        <v>90617.848970251711</v>
      </c>
      <c r="G10" s="35">
        <f>IF(_xlfn.XLOOKUP(tblPerBed[[#This Row],[July 1 of:]],tblInput[Year],tblInput[Capital Cost per Bed],0)&gt;0,_xlfn.XLOOKUP(tblPerBed[[#This Row],[July 1 of:]],tblInput[Year],tblInput[Capital Cost per Bed],0),"")</f>
        <v>72096.777330775847</v>
      </c>
      <c r="H10" s="39"/>
      <c r="J10" s="11"/>
    </row>
    <row r="11" spans="1:12" x14ac:dyDescent="0.25">
      <c r="A11" s="43">
        <f t="shared" si="2"/>
        <v>2017</v>
      </c>
      <c r="B11" s="32">
        <f t="shared" si="1"/>
        <v>7</v>
      </c>
      <c r="C11" s="44">
        <f>IF(tblPerBed[[#This Row],[3/4 Column]]="","",C12+((G12-G11)/G12))</f>
        <v>138.01216780333118</v>
      </c>
      <c r="D11" s="45">
        <f t="shared" si="3"/>
        <v>138.01216780333118</v>
      </c>
      <c r="E11" s="46">
        <f>IF(tblPerBed[[#This Row],[3/4 Column]]="","",ROUND((D11/D12)-1,4))</f>
        <v>0</v>
      </c>
      <c r="F11" s="35">
        <f>IF(_xlfn.XLOOKUP(tblPerBed[[#This Row],[July 1 of:]],tblInput[Year],tblInput[3/4 Column],0)&gt;0,_xlfn.XLOOKUP(tblPerBed[[#This Row],[July 1 of:]],tblInput[Year],tblInput[3/4 Column],0),"")</f>
        <v>89610.983981693353</v>
      </c>
      <c r="G11" s="35">
        <f>IF(_xlfn.XLOOKUP(tblPerBed[[#This Row],[July 1 of:]],tblInput[Year],tblInput[Capital Cost per Bed],0)&gt;0,_xlfn.XLOOKUP(tblPerBed[[#This Row],[July 1 of:]],tblInput[Year],tblInput[Capital Cost per Bed],0),"")</f>
        <v>71382.947852253303</v>
      </c>
      <c r="H11" s="39"/>
      <c r="J11" s="11"/>
    </row>
    <row r="12" spans="1:12" x14ac:dyDescent="0.25">
      <c r="A12" s="43">
        <f t="shared" si="2"/>
        <v>2016</v>
      </c>
      <c r="B12" s="32">
        <f t="shared" si="1"/>
        <v>8</v>
      </c>
      <c r="C12" s="44">
        <f>IF(tblPerBed[[#This Row],[3/4 Column]]="","",C13+((G13-G12)/G13))</f>
        <v>138.01216780333118</v>
      </c>
      <c r="D12" s="45">
        <f t="shared" si="3"/>
        <v>138.01216780333118</v>
      </c>
      <c r="E12" s="46">
        <f>IF(tblPerBed[[#This Row],[3/4 Column]]="","",ROUND((D12/D13)-1,4))</f>
        <v>-1E-4</v>
      </c>
      <c r="F12" s="35">
        <f>IF(_xlfn.XLOOKUP(tblPerBed[[#This Row],[July 1 of:]],tblInput[Year],tblInput[3/4 Column],0)&gt;0,_xlfn.XLOOKUP(tblPerBed[[#This Row],[July 1 of:]],tblInput[Year],tblInput[3/4 Column],0),"")</f>
        <v>89610.983981693353</v>
      </c>
      <c r="G12" s="35">
        <f>IF(_xlfn.XLOOKUP(tblPerBed[[#This Row],[July 1 of:]],tblInput[Year],tblInput[Capital Cost per Bed],0)&gt;0,_xlfn.XLOOKUP(tblPerBed[[#This Row],[July 1 of:]],tblInput[Year],tblInput[Capital Cost per Bed],0),"")</f>
        <v>71382.947852253303</v>
      </c>
      <c r="H12" s="39"/>
      <c r="J12" s="11"/>
    </row>
    <row r="13" spans="1:12" x14ac:dyDescent="0.25">
      <c r="A13" s="43">
        <f t="shared" si="2"/>
        <v>2015</v>
      </c>
      <c r="B13" s="32">
        <f t="shared" si="1"/>
        <v>9</v>
      </c>
      <c r="C13" s="44">
        <f>IF(tblPerBed[[#This Row],[3/4 Column]]="","",C14+((G14-G13)/G14))</f>
        <v>138.02816780333117</v>
      </c>
      <c r="D13" s="45">
        <f t="shared" si="3"/>
        <v>138.02816780333117</v>
      </c>
      <c r="E13" s="46">
        <f>IF(tblPerBed[[#This Row],[3/4 Column]]="","",ROUND((D13/D14)-1,4))</f>
        <v>-1E-4</v>
      </c>
      <c r="F13" s="35">
        <f>IF(_xlfn.XLOOKUP(tblPerBed[[#This Row],[July 1 of:]],tblInput[Year],tblInput[3/4 Column],0)&gt;0,_xlfn.XLOOKUP(tblPerBed[[#This Row],[July 1 of:]],tblInput[Year],tblInput[3/4 Column],0),"")</f>
        <v>88000</v>
      </c>
      <c r="G13" s="35">
        <f>IF(_xlfn.XLOOKUP(tblPerBed[[#This Row],[July 1 of:]],tblInput[Year],tblInput[Capital Cost per Bed],0)&gt;0,_xlfn.XLOOKUP(tblPerBed[[#This Row],[July 1 of:]],tblInput[Year],tblInput[Capital Cost per Bed],0),"")</f>
        <v>70258.806941194198</v>
      </c>
      <c r="H13" s="39"/>
      <c r="J13" s="11"/>
    </row>
    <row r="14" spans="1:12" x14ac:dyDescent="0.25">
      <c r="A14" s="43">
        <f t="shared" si="2"/>
        <v>2014</v>
      </c>
      <c r="B14" s="32">
        <f t="shared" si="1"/>
        <v>10</v>
      </c>
      <c r="C14" s="44">
        <f>IF(tblPerBed[[#This Row],[3/4 Column]]="","",C15+((G15-G14)/G15))</f>
        <v>138.0480314396948</v>
      </c>
      <c r="D14" s="45">
        <f t="shared" si="3"/>
        <v>138.0480314396948</v>
      </c>
      <c r="E14" s="46">
        <f>IF(tblPerBed[[#This Row],[3/4 Column]]="","",ROUND((D14/D15)-1,4))</f>
        <v>-1E-4</v>
      </c>
      <c r="F14" s="35">
        <f>IF(_xlfn.XLOOKUP(tblPerBed[[#This Row],[July 1 of:]],tblInput[Year],tblInput[3/4 Column],0)&gt;0,_xlfn.XLOOKUP(tblPerBed[[#This Row],[July 1 of:]],tblInput[Year],tblInput[3/4 Column],0),"")</f>
        <v>86000</v>
      </c>
      <c r="G14" s="35">
        <f>IF(_xlfn.XLOOKUP(tblPerBed[[#This Row],[July 1 of:]],tblInput[Year],tblInput[Capital Cost per Bed],0)&gt;0,_xlfn.XLOOKUP(tblPerBed[[#This Row],[July 1 of:]],tblInput[Year],tblInput[Capital Cost per Bed],0),"")</f>
        <v>68890.393221298407</v>
      </c>
      <c r="H14" s="39"/>
    </row>
    <row r="15" spans="1:12" x14ac:dyDescent="0.25">
      <c r="A15" s="43">
        <f t="shared" si="2"/>
        <v>2013</v>
      </c>
      <c r="B15" s="32">
        <f t="shared" ref="B15:B78" si="4">B14+1</f>
        <v>11</v>
      </c>
      <c r="C15" s="44">
        <f>IF(tblPerBed[[#This Row],[3/4 Column]]="","",C16+((G16-G15)/G16))</f>
        <v>138.06821748620644</v>
      </c>
      <c r="D15" s="45">
        <f t="shared" si="3"/>
        <v>138.06821748620644</v>
      </c>
      <c r="E15" s="46">
        <f>IF(tblPerBed[[#This Row],[3/4 Column]]="","",ROUND((D15/D16)-1,4))</f>
        <v>-1E-4</v>
      </c>
      <c r="F15" s="35">
        <f>IF(_xlfn.XLOOKUP(tblPerBed[[#This Row],[July 1 of:]],tblInput[Year],tblInput[3/4 Column],0)&gt;0,_xlfn.XLOOKUP(tblPerBed[[#This Row],[July 1 of:]],tblInput[Year],tblInput[3/4 Column],0),"")</f>
        <v>84000</v>
      </c>
      <c r="G15" s="35">
        <f>IF(_xlfn.XLOOKUP(tblPerBed[[#This Row],[July 1 of:]],tblInput[Year],tblInput[Capital Cost per Bed],0)&gt;0,_xlfn.XLOOKUP(tblPerBed[[#This Row],[July 1 of:]],tblInput[Year],tblInput[Capital Cost per Bed],0),"")</f>
        <v>67527.284319226572</v>
      </c>
      <c r="H15" s="39"/>
    </row>
    <row r="16" spans="1:12" x14ac:dyDescent="0.25">
      <c r="A16" s="43">
        <f t="shared" si="2"/>
        <v>2012</v>
      </c>
      <c r="B16" s="32">
        <f t="shared" si="4"/>
        <v>12</v>
      </c>
      <c r="C16" s="44">
        <f>IF(tblPerBed[[#This Row],[3/4 Column]]="","",C17+((G17-G16)/G17))</f>
        <v>138.0888603433493</v>
      </c>
      <c r="D16" s="45">
        <f t="shared" si="3"/>
        <v>138.0888603433493</v>
      </c>
      <c r="E16" s="46">
        <f>IF(tblPerBed[[#This Row],[3/4 Column]]="","",ROUND((D16/D17)-1,4))</f>
        <v>-2.9999999999999997E-4</v>
      </c>
      <c r="F16" s="35">
        <f>IF(_xlfn.XLOOKUP(tblPerBed[[#This Row],[July 1 of:]],tblInput[Year],tblInput[3/4 Column],0)&gt;0,_xlfn.XLOOKUP(tblPerBed[[#This Row],[July 1 of:]],tblInput[Year],tblInput[3/4 Column],0),"")</f>
        <v>82000</v>
      </c>
      <c r="G16" s="35">
        <f>IF(_xlfn.XLOOKUP(tblPerBed[[#This Row],[July 1 of:]],tblInput[Year],tblInput[Capital Cost per Bed],0)&gt;0,_xlfn.XLOOKUP(tblPerBed[[#This Row],[July 1 of:]],tblInput[Year],tblInput[Capital Cost per Bed],0),"")</f>
        <v>66161.521482900978</v>
      </c>
      <c r="H16" s="39"/>
    </row>
    <row r="17" spans="1:8" x14ac:dyDescent="0.25">
      <c r="A17" s="43">
        <f t="shared" si="2"/>
        <v>2011</v>
      </c>
      <c r="B17" s="32">
        <f t="shared" si="4"/>
        <v>13</v>
      </c>
      <c r="C17" s="44">
        <f>IF(tblPerBed[[#This Row],[3/4 Column]]="","",C18+((G18-G17)/G18))</f>
        <v>138.12595180676394</v>
      </c>
      <c r="D17" s="45">
        <f t="shared" si="3"/>
        <v>138.12595180676394</v>
      </c>
      <c r="E17" s="46">
        <f>IF(tblPerBed[[#This Row],[3/4 Column]]="","",ROUND((D17/D18)-1,4))</f>
        <v>0</v>
      </c>
      <c r="F17" s="35">
        <f>IF(_xlfn.XLOOKUP(tblPerBed[[#This Row],[July 1 of:]],tblInput[Year],tblInput[3/4 Column],0)&gt;0,_xlfn.XLOOKUP(tblPerBed[[#This Row],[July 1 of:]],tblInput[Year],tblInput[3/4 Column],0),"")</f>
        <v>78500</v>
      </c>
      <c r="G17" s="35">
        <f>IF(_xlfn.XLOOKUP(tblPerBed[[#This Row],[July 1 of:]],tblInput[Year],tblInput[Capital Cost per Bed],0)&gt;0,_xlfn.XLOOKUP(tblPerBed[[#This Row],[July 1 of:]],tblInput[Year],tblInput[Capital Cost per Bed],0),"")</f>
        <v>63795.261861536776</v>
      </c>
      <c r="H17" s="39"/>
    </row>
    <row r="18" spans="1:8" x14ac:dyDescent="0.25">
      <c r="A18" s="43">
        <f t="shared" si="2"/>
        <v>2010</v>
      </c>
      <c r="B18" s="32">
        <f t="shared" si="4"/>
        <v>14</v>
      </c>
      <c r="C18" s="44">
        <f>IF(tblPerBed[[#This Row],[3/4 Column]]="","",C19+((G19-G18)/G19))</f>
        <v>138.13151231631807</v>
      </c>
      <c r="D18" s="45">
        <f t="shared" si="3"/>
        <v>138.13151231631807</v>
      </c>
      <c r="E18" s="46">
        <f>IF(tblPerBed[[#This Row],[3/4 Column]]="","",ROUND((D18/D19)-1,4))</f>
        <v>1E-4</v>
      </c>
      <c r="F18" s="35">
        <f>IF(_xlfn.XLOOKUP(tblPerBed[[#This Row],[July 1 of:]],tblInput[Year],tblInput[3/4 Column],0)&gt;0,_xlfn.XLOOKUP(tblPerBed[[#This Row],[July 1 of:]],tblInput[Year],tblInput[3/4 Column],0),"")</f>
        <v>78000</v>
      </c>
      <c r="G18" s="35">
        <f>IF(_xlfn.XLOOKUP(tblPerBed[[#This Row],[July 1 of:]],tblInput[Year],tblInput[Capital Cost per Bed],0)&gt;0,_xlfn.XLOOKUP(tblPerBed[[#This Row],[July 1 of:]],tblInput[Year],tblInput[Capital Cost per Bed],0),"")</f>
        <v>63442.489293680832</v>
      </c>
      <c r="H18" s="39"/>
    </row>
    <row r="19" spans="1:8" x14ac:dyDescent="0.25">
      <c r="A19" s="43">
        <f t="shared" si="2"/>
        <v>2009</v>
      </c>
      <c r="B19" s="32">
        <f t="shared" si="4"/>
        <v>15</v>
      </c>
      <c r="C19" s="44">
        <f>IF(tblPerBed[[#This Row],[3/4 Column]]="","",C20+((G20-G19)/G20))</f>
        <v>138.12042257272833</v>
      </c>
      <c r="D19" s="45">
        <f t="shared" si="3"/>
        <v>138.12042257272833</v>
      </c>
      <c r="E19" s="46">
        <f>IF(tblPerBed[[#This Row],[3/4 Column]]="","",ROUND((D19/D20)-1,4))</f>
        <v>-4.0000000000000002E-4</v>
      </c>
      <c r="F19" s="35">
        <f>IF(_xlfn.XLOOKUP(tblPerBed[[#This Row],[July 1 of:]],tblInput[Year],tblInput[3/4 Column],0)&gt;0,_xlfn.XLOOKUP(tblPerBed[[#This Row],[July 1 of:]],tblInput[Year],tblInput[3/4 Column],0),"")</f>
        <v>79000</v>
      </c>
      <c r="G19" s="35">
        <f>IF(_xlfn.XLOOKUP(tblPerBed[[#This Row],[July 1 of:]],tblInput[Year],tblInput[Capital Cost per Bed],0)&gt;0,_xlfn.XLOOKUP(tblPerBed[[#This Row],[July 1 of:]],tblInput[Year],tblInput[Capital Cost per Bed],0),"")</f>
        <v>64153.940038984962</v>
      </c>
      <c r="H19" s="39"/>
    </row>
    <row r="20" spans="1:8" x14ac:dyDescent="0.25">
      <c r="A20" s="43">
        <f t="shared" si="2"/>
        <v>2008</v>
      </c>
      <c r="B20" s="32">
        <f t="shared" si="4"/>
        <v>16</v>
      </c>
      <c r="C20" s="44">
        <f>IF(tblPerBed[[#This Row],[3/4 Column]]="","",C21+((G21-G20)/G21))</f>
        <v>138.18182763601948</v>
      </c>
      <c r="D20" s="45">
        <f t="shared" si="3"/>
        <v>138.18182763601948</v>
      </c>
      <c r="E20" s="46">
        <f>IF(tblPerBed[[#This Row],[3/4 Column]]="","",ROUND((D20/D21)-1,4))</f>
        <v>-2.9999999999999997E-4</v>
      </c>
      <c r="F20" s="35">
        <f>IF(_xlfn.XLOOKUP(tblPerBed[[#This Row],[July 1 of:]],tblInput[Year],tblInput[3/4 Column],0)&gt;0,_xlfn.XLOOKUP(tblPerBed[[#This Row],[July 1 of:]],tblInput[Year],tblInput[3/4 Column],0),"")</f>
        <v>73500</v>
      </c>
      <c r="G20" s="35">
        <f>IF(_xlfn.XLOOKUP(tblPerBed[[#This Row],[July 1 of:]],tblInput[Year],tblInput[Capital Cost per Bed],0)&gt;0,_xlfn.XLOOKUP(tblPerBed[[#This Row],[July 1 of:]],tblInput[Year],tblInput[Capital Cost per Bed],0),"")</f>
        <v>60442.466554719824</v>
      </c>
      <c r="H20" s="39"/>
    </row>
    <row r="21" spans="1:8" x14ac:dyDescent="0.25">
      <c r="A21" s="43">
        <f t="shared" si="2"/>
        <v>2007</v>
      </c>
      <c r="B21" s="32">
        <f t="shared" si="4"/>
        <v>17</v>
      </c>
      <c r="C21" s="44">
        <f>IF(tblPerBed[[#This Row],[3/4 Column]]="","",C22+((G22-G21)/G22))</f>
        <v>138.21766437071335</v>
      </c>
      <c r="D21" s="45">
        <f t="shared" si="3"/>
        <v>138.21766437071335</v>
      </c>
      <c r="E21" s="46">
        <f>IF(tblPerBed[[#This Row],[3/4 Column]]="","",ROUND((D21/D22)-1,4))</f>
        <v>-4.0000000000000002E-4</v>
      </c>
      <c r="F21" s="35">
        <f>IF(_xlfn.XLOOKUP(tblPerBed[[#This Row],[July 1 of:]],tblInput[Year],tblInput[3/4 Column],0)&gt;0,_xlfn.XLOOKUP(tblPerBed[[#This Row],[July 1 of:]],tblInput[Year],tblInput[3/4 Column],0),"")</f>
        <v>70500</v>
      </c>
      <c r="G21" s="35">
        <f>IF(_xlfn.XLOOKUP(tblPerBed[[#This Row],[July 1 of:]],tblInput[Year],tblInput[Capital Cost per Bed],0)&gt;0,_xlfn.XLOOKUP(tblPerBed[[#This Row],[July 1 of:]],tblInput[Year],tblInput[Capital Cost per Bed],0),"")</f>
        <v>58351.34488890518</v>
      </c>
      <c r="H21" s="39"/>
    </row>
    <row r="22" spans="1:8" x14ac:dyDescent="0.25">
      <c r="A22" s="43">
        <f t="shared" si="2"/>
        <v>2006</v>
      </c>
      <c r="B22" s="32">
        <f t="shared" si="4"/>
        <v>18</v>
      </c>
      <c r="C22" s="44">
        <f>IF(tblPerBed[[#This Row],[3/4 Column]]="","",C23+((G23-G22)/G23))</f>
        <v>138.27389841326655</v>
      </c>
      <c r="D22" s="45">
        <f t="shared" si="3"/>
        <v>138.27389841326655</v>
      </c>
      <c r="E22" s="46">
        <f>IF(tblPerBed[[#This Row],[3/4 Column]]="","",ROUND((D22/D23)-1,4))</f>
        <v>-2.0000000000000001E-4</v>
      </c>
      <c r="F22" s="35">
        <f>IF(_xlfn.XLOOKUP(tblPerBed[[#This Row],[July 1 of:]],tblInput[Year],tblInput[3/4 Column],0)&gt;0,_xlfn.XLOOKUP(tblPerBed[[#This Row],[July 1 of:]],tblInput[Year],tblInput[3/4 Column],0),"")</f>
        <v>66000</v>
      </c>
      <c r="G22" s="35">
        <f>IF(_xlfn.XLOOKUP(tblPerBed[[#This Row],[July 1 of:]],tblInput[Year],tblInput[Capital Cost per Bed],0)&gt;0,_xlfn.XLOOKUP(tblPerBed[[#This Row],[July 1 of:]],tblInput[Year],tblInput[Capital Cost per Bed],0),"")</f>
        <v>55244.711435218327</v>
      </c>
      <c r="H22" s="39"/>
    </row>
    <row r="23" spans="1:8" ht="13.9" customHeight="1" x14ac:dyDescent="0.25">
      <c r="A23" s="43">
        <f t="shared" si="2"/>
        <v>2005</v>
      </c>
      <c r="B23" s="32">
        <f t="shared" si="4"/>
        <v>19</v>
      </c>
      <c r="C23" s="44">
        <f>IF(tblPerBed[[#This Row],[3/4 Column]]="","",C24+((G24-G23)/G24))</f>
        <v>138.30711811023625</v>
      </c>
      <c r="D23" s="45">
        <f t="shared" si="3"/>
        <v>138.30711811023625</v>
      </c>
      <c r="E23" s="46">
        <f>IF(tblPerBed[[#This Row],[3/4 Column]]="","",ROUND((D23/D24)-1,4))</f>
        <v>-5.0000000000000001E-4</v>
      </c>
      <c r="F23" s="35">
        <f>IF(_xlfn.XLOOKUP(tblPerBed[[#This Row],[July 1 of:]],tblInput[Year],tblInput[3/4 Column],0)&gt;0,_xlfn.XLOOKUP(tblPerBed[[#This Row],[July 1 of:]],tblInput[Year],tblInput[3/4 Column],0),"")</f>
        <v>63500</v>
      </c>
      <c r="G23" s="35">
        <f>IF(_xlfn.XLOOKUP(tblPerBed[[#This Row],[July 1 of:]],tblInput[Year],tblInput[Capital Cost per Bed],0)&gt;0,_xlfn.XLOOKUP(tblPerBed[[#This Row],[July 1 of:]],tblInput[Year],tblInput[Capital Cost per Bed],0),"")</f>
        <v>53468.503937007874</v>
      </c>
      <c r="H23" s="39"/>
    </row>
    <row r="24" spans="1:8" x14ac:dyDescent="0.25">
      <c r="A24" s="104">
        <f t="shared" si="2"/>
        <v>2004</v>
      </c>
      <c r="B24" s="105">
        <f t="shared" si="4"/>
        <v>20</v>
      </c>
      <c r="C24" s="106">
        <v>138.3764881889764</v>
      </c>
      <c r="D24" s="107">
        <f t="shared" si="3"/>
        <v>138.3764881889764</v>
      </c>
      <c r="E24" s="108">
        <f t="shared" ref="E24:E86" si="5">ROUND((D24/D25)-1,4)</f>
        <v>6.9400000000000003E-2</v>
      </c>
      <c r="F24" s="109">
        <f>IF(_xlfn.XLOOKUP(tblPerBed[[#This Row],[July 1 of:]],tblInput[Year],tblInput[3/4 Column],0)&gt;0,_xlfn.XLOOKUP(tblPerBed[[#This Row],[July 1 of:]],tblInput[Year],tblInput[3/4 Column],0),"")</f>
        <v>58500</v>
      </c>
      <c r="G24" s="109">
        <f>IF(_xlfn.XLOOKUP(tblPerBed[[#This Row],[July 1 of:]],tblInput[Year],tblInput[Capital Cost per Bed],0)&gt;0,_xlfn.XLOOKUP(tblPerBed[[#This Row],[July 1 of:]],tblInput[Year],tblInput[Capital Cost per Bed],0),"")</f>
        <v>50000</v>
      </c>
      <c r="H24" s="110"/>
    </row>
    <row r="25" spans="1:8" x14ac:dyDescent="0.25">
      <c r="A25" s="43">
        <f t="shared" ref="A25:A88" si="6">+A24-1</f>
        <v>2003</v>
      </c>
      <c r="B25" s="32">
        <f t="shared" si="4"/>
        <v>21</v>
      </c>
      <c r="C25" s="34">
        <v>129.4</v>
      </c>
      <c r="D25" s="34">
        <f t="shared" si="3"/>
        <v>129.4</v>
      </c>
      <c r="E25" s="46">
        <f t="shared" si="5"/>
        <v>2.7799999999999998E-2</v>
      </c>
      <c r="F25" s="35">
        <v>61782.447947071414</v>
      </c>
      <c r="G25" s="35">
        <v>51024.958732742038</v>
      </c>
    </row>
    <row r="26" spans="1:8" x14ac:dyDescent="0.25">
      <c r="A26" s="43">
        <f t="shared" si="6"/>
        <v>2002</v>
      </c>
      <c r="B26" s="32">
        <f t="shared" si="4"/>
        <v>22</v>
      </c>
      <c r="C26" s="34">
        <v>125.9</v>
      </c>
      <c r="D26" s="34">
        <f t="shared" si="3"/>
        <v>125.9</v>
      </c>
      <c r="E26" s="46">
        <f t="shared" si="5"/>
        <v>3.3700000000000001E-2</v>
      </c>
      <c r="F26" s="35">
        <v>59768.257663801305</v>
      </c>
      <c r="G26" s="35">
        <v>49644.84006531856</v>
      </c>
    </row>
    <row r="27" spans="1:8" x14ac:dyDescent="0.25">
      <c r="A27" s="43">
        <f t="shared" si="6"/>
        <v>2001</v>
      </c>
      <c r="B27" s="32">
        <f t="shared" si="4"/>
        <v>23</v>
      </c>
      <c r="C27" s="34">
        <v>121.8</v>
      </c>
      <c r="D27" s="34">
        <f t="shared" si="3"/>
        <v>121.8</v>
      </c>
      <c r="E27" s="46">
        <f t="shared" si="5"/>
        <v>3.1300000000000001E-2</v>
      </c>
      <c r="F27" s="35">
        <v>57954.288435761948</v>
      </c>
      <c r="G27" s="35">
        <v>48028.129626336777</v>
      </c>
    </row>
    <row r="28" spans="1:8" x14ac:dyDescent="0.25">
      <c r="A28" s="43">
        <f t="shared" si="6"/>
        <v>2000</v>
      </c>
      <c r="B28" s="32">
        <f t="shared" si="4"/>
        <v>24</v>
      </c>
      <c r="C28" s="34">
        <v>118.1</v>
      </c>
      <c r="D28" s="34">
        <f t="shared" si="3"/>
        <v>118.1</v>
      </c>
      <c r="E28" s="46">
        <f t="shared" si="5"/>
        <v>2.07E-2</v>
      </c>
      <c r="F28" s="35">
        <v>56778.963883376069</v>
      </c>
      <c r="G28" s="35">
        <v>46569.147035060538</v>
      </c>
    </row>
    <row r="29" spans="1:8" x14ac:dyDescent="0.25">
      <c r="A29" s="43">
        <f t="shared" si="6"/>
        <v>1999</v>
      </c>
      <c r="B29" s="32">
        <f t="shared" si="4"/>
        <v>25</v>
      </c>
      <c r="C29" s="34">
        <v>115.7</v>
      </c>
      <c r="D29" s="34">
        <f t="shared" si="3"/>
        <v>115.7</v>
      </c>
      <c r="E29" s="46">
        <f t="shared" si="5"/>
        <v>2.3E-2</v>
      </c>
      <c r="F29" s="35">
        <v>55502.408488148656</v>
      </c>
      <c r="G29" s="35">
        <v>45622.779948827301</v>
      </c>
    </row>
    <row r="30" spans="1:8" x14ac:dyDescent="0.25">
      <c r="A30" s="43">
        <f t="shared" si="6"/>
        <v>1998</v>
      </c>
      <c r="B30" s="32">
        <f t="shared" si="4"/>
        <v>26</v>
      </c>
      <c r="C30" s="34">
        <v>113.1</v>
      </c>
      <c r="D30" s="34">
        <f t="shared" si="3"/>
        <v>113.1</v>
      </c>
      <c r="E30" s="46">
        <f t="shared" si="5"/>
        <v>2.1700000000000001E-2</v>
      </c>
      <c r="F30" s="35">
        <v>54323.586657677064</v>
      </c>
      <c r="G30" s="35">
        <v>44597.548938741296</v>
      </c>
    </row>
    <row r="31" spans="1:8" x14ac:dyDescent="0.25">
      <c r="A31" s="43">
        <f t="shared" si="6"/>
        <v>1997</v>
      </c>
      <c r="B31" s="32">
        <f t="shared" si="4"/>
        <v>27</v>
      </c>
      <c r="C31" s="34">
        <v>110.7</v>
      </c>
      <c r="D31" s="34">
        <f t="shared" si="3"/>
        <v>110.7</v>
      </c>
      <c r="E31" s="46">
        <f t="shared" si="5"/>
        <v>2.41E-2</v>
      </c>
      <c r="F31" s="35">
        <v>53045.197400329133</v>
      </c>
      <c r="G31" s="35">
        <v>43651.18185250806</v>
      </c>
    </row>
    <row r="32" spans="1:8" x14ac:dyDescent="0.25">
      <c r="A32" s="43">
        <f t="shared" si="6"/>
        <v>1996</v>
      </c>
      <c r="B32" s="32">
        <f t="shared" si="4"/>
        <v>28</v>
      </c>
      <c r="C32" s="34">
        <v>108.1</v>
      </c>
      <c r="D32" s="34">
        <f t="shared" si="3"/>
        <v>108.1</v>
      </c>
      <c r="E32" s="46">
        <f t="shared" si="5"/>
        <v>3.2500000000000001E-2</v>
      </c>
      <c r="F32" s="35">
        <v>51375.493850197709</v>
      </c>
      <c r="G32" s="35">
        <v>42625.950842422048</v>
      </c>
    </row>
    <row r="33" spans="1:8" x14ac:dyDescent="0.25">
      <c r="A33" s="43">
        <f t="shared" si="6"/>
        <v>1995</v>
      </c>
      <c r="B33" s="32">
        <f t="shared" si="4"/>
        <v>29</v>
      </c>
      <c r="C33" s="34">
        <v>104.7</v>
      </c>
      <c r="D33" s="34">
        <f t="shared" si="3"/>
        <v>104.7</v>
      </c>
      <c r="E33" s="46">
        <f t="shared" si="5"/>
        <v>2.3699999999999999E-2</v>
      </c>
      <c r="F33" s="35">
        <v>50186.083667283099</v>
      </c>
      <c r="G33" s="35">
        <v>41285.264136924969</v>
      </c>
    </row>
    <row r="34" spans="1:8" x14ac:dyDescent="0.25">
      <c r="A34" s="43">
        <f t="shared" si="6"/>
        <v>1994</v>
      </c>
      <c r="B34" s="32">
        <f t="shared" si="4"/>
        <v>30</v>
      </c>
      <c r="C34" s="34">
        <v>102.27500000000001</v>
      </c>
      <c r="D34" s="34">
        <f t="shared" si="3"/>
        <v>102.27500000000001</v>
      </c>
      <c r="E34" s="46">
        <f t="shared" si="5"/>
        <v>2.4299999999999999E-2</v>
      </c>
      <c r="F34" s="35">
        <v>48995.493182937716</v>
      </c>
      <c r="G34" s="35">
        <v>40329.039060210132</v>
      </c>
      <c r="H34" s="34">
        <f>(C33-C37)/4</f>
        <v>2.4250000000000007</v>
      </c>
    </row>
    <row r="35" spans="1:8" x14ac:dyDescent="0.25">
      <c r="A35" s="43">
        <f t="shared" si="6"/>
        <v>1993</v>
      </c>
      <c r="B35" s="32">
        <f t="shared" si="4"/>
        <v>31</v>
      </c>
      <c r="C35" s="34">
        <v>99.850000000000009</v>
      </c>
      <c r="D35" s="34">
        <f t="shared" si="3"/>
        <v>99.850000000000009</v>
      </c>
      <c r="E35" s="46">
        <f t="shared" si="5"/>
        <v>2.4899999999999999E-2</v>
      </c>
      <c r="F35" s="35">
        <v>47805.145070677841</v>
      </c>
      <c r="G35" s="35">
        <v>39372.813983495304</v>
      </c>
    </row>
    <row r="36" spans="1:8" x14ac:dyDescent="0.25">
      <c r="A36" s="43">
        <f t="shared" si="6"/>
        <v>1992</v>
      </c>
      <c r="B36" s="32">
        <f t="shared" si="4"/>
        <v>32</v>
      </c>
      <c r="C36" s="34">
        <v>97.425000000000011</v>
      </c>
      <c r="D36" s="34">
        <f t="shared" si="3"/>
        <v>97.425000000000011</v>
      </c>
      <c r="E36" s="46">
        <f t="shared" si="5"/>
        <v>2.5499999999999998E-2</v>
      </c>
      <c r="F36" s="35">
        <v>46616.426202513736</v>
      </c>
      <c r="G36" s="35">
        <v>38416.588906780475</v>
      </c>
    </row>
    <row r="37" spans="1:8" x14ac:dyDescent="0.25">
      <c r="A37" s="43">
        <f t="shared" si="6"/>
        <v>1991</v>
      </c>
      <c r="B37" s="32">
        <f t="shared" si="4"/>
        <v>33</v>
      </c>
      <c r="C37" s="34">
        <v>95</v>
      </c>
      <c r="D37" s="34">
        <f t="shared" si="3"/>
        <v>95</v>
      </c>
      <c r="E37" s="46">
        <f t="shared" si="5"/>
        <v>2.64E-2</v>
      </c>
      <c r="F37" s="35">
        <v>45417.406666517672</v>
      </c>
      <c r="G37" s="35">
        <v>37460.363830065631</v>
      </c>
    </row>
    <row r="38" spans="1:8" x14ac:dyDescent="0.25">
      <c r="A38" s="43">
        <f t="shared" si="6"/>
        <v>1990</v>
      </c>
      <c r="B38" s="32">
        <f t="shared" si="4"/>
        <v>34</v>
      </c>
      <c r="C38" s="34">
        <v>92.56</v>
      </c>
      <c r="D38" s="34">
        <f t="shared" si="3"/>
        <v>92.56</v>
      </c>
      <c r="E38" s="46">
        <f t="shared" si="5"/>
        <v>2.7099999999999999E-2</v>
      </c>
      <c r="F38" s="35">
        <v>44219.069872960448</v>
      </c>
      <c r="G38" s="35">
        <v>36498.223959061841</v>
      </c>
      <c r="H38" s="34">
        <f>(C37-C42)/5</f>
        <v>2.4400000000000004</v>
      </c>
    </row>
    <row r="39" spans="1:8" x14ac:dyDescent="0.25">
      <c r="A39" s="43">
        <f t="shared" si="6"/>
        <v>1989</v>
      </c>
      <c r="B39" s="32">
        <f t="shared" si="4"/>
        <v>35</v>
      </c>
      <c r="C39" s="34">
        <v>90.12</v>
      </c>
      <c r="D39" s="34">
        <f t="shared" si="3"/>
        <v>90.12</v>
      </c>
      <c r="E39" s="46">
        <f t="shared" si="5"/>
        <v>2.7799999999999998E-2</v>
      </c>
      <c r="F39" s="35">
        <v>43023.029648725867</v>
      </c>
      <c r="G39" s="35">
        <v>35536.084088058051</v>
      </c>
    </row>
    <row r="40" spans="1:8" x14ac:dyDescent="0.25">
      <c r="A40" s="43">
        <f t="shared" si="6"/>
        <v>1988</v>
      </c>
      <c r="B40" s="32">
        <f t="shared" si="4"/>
        <v>36</v>
      </c>
      <c r="C40" s="34">
        <v>87.68</v>
      </c>
      <c r="D40" s="34">
        <f t="shared" si="3"/>
        <v>87.68</v>
      </c>
      <c r="E40" s="46">
        <f t="shared" si="5"/>
        <v>2.86E-2</v>
      </c>
      <c r="F40" s="35">
        <v>41826.783636715794</v>
      </c>
      <c r="G40" s="35">
        <v>34573.944217054261</v>
      </c>
    </row>
    <row r="41" spans="1:8" x14ac:dyDescent="0.25">
      <c r="A41" s="43">
        <f t="shared" si="6"/>
        <v>1987</v>
      </c>
      <c r="B41" s="32">
        <f t="shared" si="4"/>
        <v>37</v>
      </c>
      <c r="C41" s="34">
        <v>85.240000000000009</v>
      </c>
      <c r="D41" s="34">
        <f t="shared" si="3"/>
        <v>85.240000000000009</v>
      </c>
      <c r="E41" s="46">
        <f t="shared" si="5"/>
        <v>2.9499999999999998E-2</v>
      </c>
      <c r="F41" s="35">
        <v>40628.250254216407</v>
      </c>
      <c r="G41" s="35">
        <v>33611.80434605047</v>
      </c>
    </row>
    <row r="42" spans="1:8" x14ac:dyDescent="0.25">
      <c r="A42" s="43">
        <f t="shared" si="6"/>
        <v>1986</v>
      </c>
      <c r="B42" s="32">
        <f t="shared" si="4"/>
        <v>38</v>
      </c>
      <c r="C42" s="34">
        <v>82.8</v>
      </c>
      <c r="D42" s="34">
        <f t="shared" ref="D42:D73" si="7">C42</f>
        <v>82.8</v>
      </c>
      <c r="E42" s="46">
        <f t="shared" si="5"/>
        <v>4.5499999999999999E-2</v>
      </c>
      <c r="F42" s="35">
        <v>38860.115020771307</v>
      </c>
      <c r="G42" s="35">
        <v>32649.664475046677</v>
      </c>
    </row>
    <row r="43" spans="1:8" x14ac:dyDescent="0.25">
      <c r="A43" s="43">
        <f t="shared" si="6"/>
        <v>1985</v>
      </c>
      <c r="B43" s="32">
        <f t="shared" si="4"/>
        <v>39</v>
      </c>
      <c r="C43" s="34">
        <v>79.2</v>
      </c>
      <c r="D43" s="34">
        <f t="shared" si="7"/>
        <v>79.2</v>
      </c>
      <c r="E43" s="46">
        <f t="shared" si="5"/>
        <v>4.7600000000000003E-2</v>
      </c>
      <c r="F43" s="35">
        <v>37094.420600201702</v>
      </c>
      <c r="G43" s="35">
        <v>31230.113845696826</v>
      </c>
      <c r="H43" s="34">
        <f>(C42-C47)/5</f>
        <v>3.6</v>
      </c>
    </row>
    <row r="44" spans="1:8" x14ac:dyDescent="0.25">
      <c r="A44" s="43">
        <f t="shared" si="6"/>
        <v>1984</v>
      </c>
      <c r="B44" s="32">
        <f t="shared" si="4"/>
        <v>40</v>
      </c>
      <c r="C44" s="34">
        <v>75.600000000000009</v>
      </c>
      <c r="D44" s="34">
        <f t="shared" si="7"/>
        <v>75.600000000000009</v>
      </c>
      <c r="E44" s="46">
        <f t="shared" si="5"/>
        <v>0.05</v>
      </c>
      <c r="F44" s="35">
        <v>35328.019619239712</v>
      </c>
      <c r="G44" s="35">
        <v>29810.563216346971</v>
      </c>
    </row>
    <row r="45" spans="1:8" x14ac:dyDescent="0.25">
      <c r="A45" s="43">
        <f t="shared" si="6"/>
        <v>1983</v>
      </c>
      <c r="B45" s="32">
        <f t="shared" si="4"/>
        <v>41</v>
      </c>
      <c r="C45" s="34">
        <v>72.000000000000014</v>
      </c>
      <c r="D45" s="34">
        <f t="shared" si="7"/>
        <v>72.000000000000014</v>
      </c>
      <c r="E45" s="46">
        <f t="shared" si="5"/>
        <v>5.2600000000000001E-2</v>
      </c>
      <c r="F45" s="35">
        <v>33562.625517043241</v>
      </c>
      <c r="G45" s="35">
        <v>28391.012586997116</v>
      </c>
    </row>
    <row r="46" spans="1:8" x14ac:dyDescent="0.25">
      <c r="A46" s="43">
        <f t="shared" si="6"/>
        <v>1982</v>
      </c>
      <c r="B46" s="32">
        <f t="shared" si="4"/>
        <v>42</v>
      </c>
      <c r="C46" s="34">
        <v>68.40000000000002</v>
      </c>
      <c r="D46" s="34">
        <f t="shared" si="7"/>
        <v>68.40000000000002</v>
      </c>
      <c r="E46" s="46">
        <f t="shared" si="5"/>
        <v>5.5599999999999997E-2</v>
      </c>
      <c r="F46" s="35">
        <v>31794.832812659377</v>
      </c>
      <c r="G46" s="35">
        <v>26971.461957647265</v>
      </c>
    </row>
    <row r="47" spans="1:8" x14ac:dyDescent="0.25">
      <c r="A47" s="43">
        <f t="shared" si="6"/>
        <v>1981</v>
      </c>
      <c r="B47" s="32">
        <f t="shared" si="4"/>
        <v>43</v>
      </c>
      <c r="C47" s="34">
        <v>64.8</v>
      </c>
      <c r="D47" s="34">
        <f t="shared" si="7"/>
        <v>64.8</v>
      </c>
      <c r="E47" s="46">
        <f t="shared" si="5"/>
        <v>6.4399999999999999E-2</v>
      </c>
      <c r="F47" s="35">
        <v>29871.1319171922</v>
      </c>
      <c r="G47" s="35">
        <v>25551.911328297399</v>
      </c>
      <c r="H47" s="34">
        <f>C46-H43</f>
        <v>64.800000000000026</v>
      </c>
    </row>
    <row r="48" spans="1:8" x14ac:dyDescent="0.25">
      <c r="A48" s="43">
        <f t="shared" si="6"/>
        <v>1980</v>
      </c>
      <c r="B48" s="32">
        <f t="shared" si="4"/>
        <v>44</v>
      </c>
      <c r="C48" s="34">
        <v>60.879999999999995</v>
      </c>
      <c r="D48" s="34">
        <f t="shared" si="7"/>
        <v>60.879999999999995</v>
      </c>
      <c r="E48" s="46">
        <f t="shared" si="5"/>
        <v>6.88E-2</v>
      </c>
      <c r="F48" s="35">
        <v>27948.289593181325</v>
      </c>
      <c r="G48" s="35">
        <v>24006.178420783112</v>
      </c>
      <c r="H48" s="34">
        <f>(C47-C52)/5</f>
        <v>3.919999999999999</v>
      </c>
    </row>
    <row r="49" spans="1:8" x14ac:dyDescent="0.25">
      <c r="A49" s="43">
        <f t="shared" si="6"/>
        <v>1979</v>
      </c>
      <c r="B49" s="32">
        <f t="shared" si="4"/>
        <v>45</v>
      </c>
      <c r="C49" s="34">
        <v>56.959999999999994</v>
      </c>
      <c r="D49" s="34">
        <f t="shared" si="7"/>
        <v>56.959999999999994</v>
      </c>
      <c r="E49" s="46">
        <f t="shared" si="5"/>
        <v>7.3899999999999993E-2</v>
      </c>
      <c r="F49" s="35">
        <v>26025.039196555845</v>
      </c>
      <c r="G49" s="35">
        <v>22460.445513268824</v>
      </c>
    </row>
    <row r="50" spans="1:8" x14ac:dyDescent="0.25">
      <c r="A50" s="43">
        <f t="shared" si="6"/>
        <v>1978</v>
      </c>
      <c r="B50" s="32">
        <f t="shared" si="4"/>
        <v>46</v>
      </c>
      <c r="C50" s="34">
        <v>53.039999999999992</v>
      </c>
      <c r="D50" s="34">
        <f t="shared" si="7"/>
        <v>53.039999999999992</v>
      </c>
      <c r="E50" s="46">
        <f t="shared" si="5"/>
        <v>7.9799999999999996E-2</v>
      </c>
      <c r="F50" s="35">
        <v>24101.721797143771</v>
      </c>
      <c r="G50" s="35">
        <v>20914.712605754536</v>
      </c>
    </row>
    <row r="51" spans="1:8" x14ac:dyDescent="0.25">
      <c r="A51" s="43">
        <f t="shared" si="6"/>
        <v>1977</v>
      </c>
      <c r="B51" s="32">
        <f t="shared" si="4"/>
        <v>47</v>
      </c>
      <c r="C51" s="34">
        <v>49.11999999999999</v>
      </c>
      <c r="D51" s="34">
        <f t="shared" si="7"/>
        <v>49.11999999999999</v>
      </c>
      <c r="E51" s="46">
        <f t="shared" si="5"/>
        <v>8.6699999999999999E-2</v>
      </c>
      <c r="F51" s="35">
        <v>22178.818254480328</v>
      </c>
      <c r="G51" s="35">
        <v>19368.979698240248</v>
      </c>
    </row>
    <row r="52" spans="1:8" x14ac:dyDescent="0.25">
      <c r="A52" s="43">
        <f t="shared" si="6"/>
        <v>1976</v>
      </c>
      <c r="B52" s="32">
        <f t="shared" si="4"/>
        <v>48</v>
      </c>
      <c r="C52" s="34">
        <v>45.2</v>
      </c>
      <c r="D52" s="34">
        <f t="shared" si="7"/>
        <v>45.2</v>
      </c>
      <c r="E52" s="46">
        <f t="shared" si="5"/>
        <v>7.4099999999999999E-2</v>
      </c>
      <c r="F52" s="35">
        <v>20648.746163746695</v>
      </c>
      <c r="G52" s="35">
        <v>17823.246790725967</v>
      </c>
      <c r="H52" s="34">
        <f>C51-H48</f>
        <v>45.199999999999989</v>
      </c>
    </row>
    <row r="53" spans="1:8" x14ac:dyDescent="0.25">
      <c r="A53" s="43">
        <f t="shared" si="6"/>
        <v>1975</v>
      </c>
      <c r="B53" s="32">
        <f t="shared" si="4"/>
        <v>49</v>
      </c>
      <c r="C53" s="34">
        <v>42.080000000000005</v>
      </c>
      <c r="D53" s="34">
        <f t="shared" si="7"/>
        <v>42.080000000000005</v>
      </c>
      <c r="E53" s="46">
        <f t="shared" si="5"/>
        <v>8.0100000000000005E-2</v>
      </c>
      <c r="F53" s="35">
        <v>19117.439277610123</v>
      </c>
      <c r="G53" s="35">
        <v>16592.96957862276</v>
      </c>
      <c r="H53" s="34">
        <f>(C52-C57)/5</f>
        <v>3.12</v>
      </c>
    </row>
    <row r="54" spans="1:8" x14ac:dyDescent="0.25">
      <c r="A54" s="43">
        <f t="shared" si="6"/>
        <v>1974</v>
      </c>
      <c r="B54" s="32">
        <f t="shared" si="4"/>
        <v>50</v>
      </c>
      <c r="C54" s="34">
        <v>38.960000000000008</v>
      </c>
      <c r="D54" s="34">
        <f t="shared" si="7"/>
        <v>38.960000000000008</v>
      </c>
      <c r="E54" s="46">
        <f t="shared" si="5"/>
        <v>8.7099999999999997E-2</v>
      </c>
      <c r="F54" s="35">
        <v>17585.722819989074</v>
      </c>
      <c r="G54" s="35">
        <v>15362.692366519552</v>
      </c>
    </row>
    <row r="55" spans="1:8" x14ac:dyDescent="0.25">
      <c r="A55" s="43">
        <f t="shared" si="6"/>
        <v>1973</v>
      </c>
      <c r="B55" s="32">
        <f t="shared" si="4"/>
        <v>51</v>
      </c>
      <c r="C55" s="34">
        <v>35.840000000000011</v>
      </c>
      <c r="D55" s="34">
        <f t="shared" si="7"/>
        <v>35.840000000000011</v>
      </c>
      <c r="E55" s="46">
        <f t="shared" si="5"/>
        <v>9.5399999999999999E-2</v>
      </c>
      <c r="F55" s="35">
        <v>16054.156308187945</v>
      </c>
      <c r="G55" s="35">
        <v>14132.415154416345</v>
      </c>
    </row>
    <row r="56" spans="1:8" x14ac:dyDescent="0.25">
      <c r="A56" s="43">
        <f t="shared" si="6"/>
        <v>1972</v>
      </c>
      <c r="B56" s="32">
        <f t="shared" si="4"/>
        <v>52</v>
      </c>
      <c r="C56" s="34">
        <v>32.720000000000013</v>
      </c>
      <c r="D56" s="34">
        <f t="shared" si="7"/>
        <v>32.720000000000013</v>
      </c>
      <c r="E56" s="46">
        <f t="shared" si="5"/>
        <v>0.10539999999999999</v>
      </c>
      <c r="F56" s="35">
        <v>14523.390906629225</v>
      </c>
      <c r="G56" s="35">
        <v>12902.137942313137</v>
      </c>
    </row>
    <row r="57" spans="1:8" x14ac:dyDescent="0.25">
      <c r="A57" s="43">
        <f t="shared" si="6"/>
        <v>1971</v>
      </c>
      <c r="B57" s="32">
        <f t="shared" si="4"/>
        <v>53</v>
      </c>
      <c r="C57" s="34">
        <v>29.6</v>
      </c>
      <c r="D57" s="34">
        <f t="shared" si="7"/>
        <v>29.6</v>
      </c>
      <c r="E57" s="46">
        <f t="shared" si="5"/>
        <v>5.4899999999999997E-2</v>
      </c>
      <c r="F57" s="35">
        <v>13767.552286121174</v>
      </c>
      <c r="G57" s="35">
        <v>11671.860730209924</v>
      </c>
    </row>
    <row r="58" spans="1:8" x14ac:dyDescent="0.25">
      <c r="A58" s="43">
        <f t="shared" si="6"/>
        <v>1970</v>
      </c>
      <c r="B58" s="32">
        <f t="shared" si="4"/>
        <v>54</v>
      </c>
      <c r="C58" s="34">
        <v>28.060000000000002</v>
      </c>
      <c r="D58" s="34">
        <f t="shared" si="7"/>
        <v>28.060000000000002</v>
      </c>
      <c r="E58" s="46">
        <f t="shared" si="5"/>
        <v>5.8099999999999999E-2</v>
      </c>
      <c r="F58" s="35">
        <v>13011.579516228308</v>
      </c>
      <c r="G58" s="35">
        <v>11064.608516543598</v>
      </c>
      <c r="H58" s="34">
        <f>(C57-C62)/5</f>
        <v>1.5400000000000005</v>
      </c>
    </row>
    <row r="59" spans="1:8" x14ac:dyDescent="0.25">
      <c r="A59" s="43">
        <f t="shared" si="6"/>
        <v>1969</v>
      </c>
      <c r="B59" s="32">
        <f t="shared" si="4"/>
        <v>55</v>
      </c>
      <c r="C59" s="34">
        <v>26.520000000000003</v>
      </c>
      <c r="D59" s="34">
        <f t="shared" si="7"/>
        <v>26.520000000000003</v>
      </c>
      <c r="E59" s="46">
        <f t="shared" si="5"/>
        <v>6.1600000000000002E-2</v>
      </c>
      <c r="F59" s="35">
        <v>12256.574525459973</v>
      </c>
      <c r="G59" s="35">
        <v>10457.356302877271</v>
      </c>
    </row>
    <row r="60" spans="1:8" x14ac:dyDescent="0.25">
      <c r="A60" s="43">
        <f t="shared" si="6"/>
        <v>1968</v>
      </c>
      <c r="B60" s="32">
        <f t="shared" si="4"/>
        <v>56</v>
      </c>
      <c r="C60" s="34">
        <v>24.980000000000004</v>
      </c>
      <c r="D60" s="34">
        <f t="shared" si="7"/>
        <v>24.980000000000004</v>
      </c>
      <c r="E60" s="46">
        <f t="shared" si="5"/>
        <v>6.5699999999999995E-2</v>
      </c>
      <c r="F60" s="35">
        <v>11500.961363854718</v>
      </c>
      <c r="G60" s="35">
        <v>9850.1040892109449</v>
      </c>
    </row>
    <row r="61" spans="1:8" x14ac:dyDescent="0.25">
      <c r="A61" s="43">
        <f t="shared" si="6"/>
        <v>1967</v>
      </c>
      <c r="B61" s="32">
        <f t="shared" si="4"/>
        <v>57</v>
      </c>
      <c r="C61" s="34">
        <v>23.440000000000005</v>
      </c>
      <c r="D61" s="34">
        <f t="shared" si="7"/>
        <v>23.440000000000005</v>
      </c>
      <c r="E61" s="46">
        <f t="shared" si="5"/>
        <v>7.0300000000000001E-2</v>
      </c>
      <c r="F61" s="35">
        <v>10745.549251475957</v>
      </c>
      <c r="G61" s="35">
        <v>9242.8518755446166</v>
      </c>
    </row>
    <row r="62" spans="1:8" x14ac:dyDescent="0.25">
      <c r="A62" s="43">
        <f t="shared" si="6"/>
        <v>1966</v>
      </c>
      <c r="B62" s="32">
        <f t="shared" si="4"/>
        <v>58</v>
      </c>
      <c r="C62" s="34">
        <v>21.9</v>
      </c>
      <c r="D62" s="34">
        <f t="shared" si="7"/>
        <v>21.9</v>
      </c>
      <c r="E62" s="46">
        <f t="shared" si="5"/>
        <v>2.0500000000000001E-2</v>
      </c>
      <c r="F62" s="35">
        <v>10529.690594292952</v>
      </c>
      <c r="G62" s="35">
        <v>8635.5996618782883</v>
      </c>
      <c r="H62" s="34">
        <f>C61-H58</f>
        <v>21.900000000000006</v>
      </c>
    </row>
    <row r="63" spans="1:8" x14ac:dyDescent="0.25">
      <c r="A63" s="43">
        <f t="shared" si="6"/>
        <v>1965</v>
      </c>
      <c r="B63" s="32">
        <f t="shared" si="4"/>
        <v>59</v>
      </c>
      <c r="C63" s="34">
        <v>21.459999999999997</v>
      </c>
      <c r="D63" s="34">
        <f t="shared" si="7"/>
        <v>21.459999999999997</v>
      </c>
      <c r="E63" s="46">
        <f t="shared" si="5"/>
        <v>2.0899999999999998E-2</v>
      </c>
      <c r="F63" s="35">
        <v>10314.125373976836</v>
      </c>
      <c r="G63" s="35">
        <v>8462.099029402194</v>
      </c>
      <c r="H63" s="34">
        <f>(C62-C67)/5</f>
        <v>0.43999999999999984</v>
      </c>
    </row>
    <row r="64" spans="1:8" x14ac:dyDescent="0.25">
      <c r="A64" s="43">
        <f t="shared" si="6"/>
        <v>1964</v>
      </c>
      <c r="B64" s="32">
        <f t="shared" si="4"/>
        <v>60</v>
      </c>
      <c r="C64" s="34">
        <v>21.019999999999996</v>
      </c>
      <c r="D64" s="34">
        <f t="shared" si="7"/>
        <v>21.019999999999996</v>
      </c>
      <c r="E64" s="46">
        <f t="shared" si="5"/>
        <v>2.1399999999999999E-2</v>
      </c>
      <c r="F64" s="35">
        <v>10098.027583685956</v>
      </c>
      <c r="G64" s="35">
        <v>8288.5983969260997</v>
      </c>
    </row>
    <row r="65" spans="1:8" x14ac:dyDescent="0.25">
      <c r="A65" s="43">
        <f t="shared" si="6"/>
        <v>1963</v>
      </c>
      <c r="B65" s="32">
        <f t="shared" si="4"/>
        <v>61</v>
      </c>
      <c r="C65" s="34">
        <v>20.579999999999995</v>
      </c>
      <c r="D65" s="34">
        <f t="shared" si="7"/>
        <v>20.579999999999995</v>
      </c>
      <c r="E65" s="46">
        <f t="shared" si="5"/>
        <v>2.18E-2</v>
      </c>
      <c r="F65" s="35">
        <v>9882.5871830944961</v>
      </c>
      <c r="G65" s="35">
        <v>8115.0977644500053</v>
      </c>
    </row>
    <row r="66" spans="1:8" x14ac:dyDescent="0.25">
      <c r="A66" s="43">
        <f t="shared" si="6"/>
        <v>1962</v>
      </c>
      <c r="B66" s="32">
        <f t="shared" si="4"/>
        <v>62</v>
      </c>
      <c r="C66" s="34">
        <v>20.139999999999993</v>
      </c>
      <c r="D66" s="34">
        <f t="shared" si="7"/>
        <v>20.139999999999993</v>
      </c>
      <c r="E66" s="46">
        <f t="shared" si="5"/>
        <v>2.23E-2</v>
      </c>
      <c r="F66" s="35">
        <v>9667.01279770566</v>
      </c>
      <c r="G66" s="35">
        <v>7941.5971319739119</v>
      </c>
    </row>
    <row r="67" spans="1:8" x14ac:dyDescent="0.25">
      <c r="A67" s="43">
        <f t="shared" si="6"/>
        <v>1961</v>
      </c>
      <c r="B67" s="32">
        <f t="shared" si="4"/>
        <v>63</v>
      </c>
      <c r="C67" s="34">
        <v>19.7</v>
      </c>
      <c r="D67" s="34">
        <f t="shared" si="7"/>
        <v>19.7</v>
      </c>
      <c r="E67" s="46">
        <f t="shared" si="5"/>
        <v>2.93E-2</v>
      </c>
      <c r="F67" s="35">
        <v>9391.8321166867372</v>
      </c>
      <c r="G67" s="35">
        <v>7768.0964994978203</v>
      </c>
      <c r="H67" s="34">
        <f>C66-H63</f>
        <v>19.699999999999992</v>
      </c>
    </row>
    <row r="68" spans="1:8" x14ac:dyDescent="0.25">
      <c r="A68" s="43">
        <f t="shared" si="6"/>
        <v>1960</v>
      </c>
      <c r="B68" s="32">
        <f t="shared" si="4"/>
        <v>64</v>
      </c>
      <c r="C68" s="34">
        <v>19.14</v>
      </c>
      <c r="D68" s="34">
        <f t="shared" si="7"/>
        <v>19.14</v>
      </c>
      <c r="E68" s="46">
        <f t="shared" si="5"/>
        <v>3.0099999999999998E-2</v>
      </c>
      <c r="F68" s="35">
        <v>9117.3984241207036</v>
      </c>
      <c r="G68" s="35">
        <v>7547.2775127100658</v>
      </c>
      <c r="H68" s="34">
        <f>(C67-C72)/5</f>
        <v>0.56000000000000016</v>
      </c>
    </row>
    <row r="69" spans="1:8" x14ac:dyDescent="0.25">
      <c r="A69" s="43">
        <f t="shared" si="6"/>
        <v>1959</v>
      </c>
      <c r="B69" s="32">
        <f t="shared" si="4"/>
        <v>65</v>
      </c>
      <c r="C69" s="34">
        <v>18.580000000000002</v>
      </c>
      <c r="D69" s="34">
        <f t="shared" si="7"/>
        <v>18.580000000000002</v>
      </c>
      <c r="E69" s="46">
        <f t="shared" si="5"/>
        <v>3.1099999999999999E-2</v>
      </c>
      <c r="F69" s="35">
        <v>8842.3997906320474</v>
      </c>
      <c r="G69" s="35">
        <v>7326.4585259223113</v>
      </c>
    </row>
    <row r="70" spans="1:8" x14ac:dyDescent="0.25">
      <c r="A70" s="43">
        <f t="shared" si="6"/>
        <v>1958</v>
      </c>
      <c r="B70" s="32">
        <f t="shared" si="4"/>
        <v>66</v>
      </c>
      <c r="C70" s="34">
        <v>18.020000000000003</v>
      </c>
      <c r="D70" s="34">
        <f t="shared" si="7"/>
        <v>18.020000000000003</v>
      </c>
      <c r="E70" s="46">
        <f t="shared" si="5"/>
        <v>3.2099999999999997E-2</v>
      </c>
      <c r="F70" s="35">
        <v>8567.3866782599034</v>
      </c>
      <c r="G70" s="35">
        <v>7105.6395391345559</v>
      </c>
    </row>
    <row r="71" spans="1:8" x14ac:dyDescent="0.25">
      <c r="A71" s="43">
        <f t="shared" si="6"/>
        <v>1957</v>
      </c>
      <c r="B71" s="32">
        <f t="shared" si="4"/>
        <v>67</v>
      </c>
      <c r="C71" s="34">
        <v>17.460000000000004</v>
      </c>
      <c r="D71" s="34">
        <f t="shared" si="7"/>
        <v>17.460000000000004</v>
      </c>
      <c r="E71" s="46">
        <f t="shared" si="5"/>
        <v>3.3099999999999997E-2</v>
      </c>
      <c r="F71" s="35">
        <v>8292.8919545638419</v>
      </c>
      <c r="G71" s="35">
        <v>6884.8205523468014</v>
      </c>
    </row>
    <row r="72" spans="1:8" x14ac:dyDescent="0.25">
      <c r="A72" s="43">
        <f t="shared" si="6"/>
        <v>1956</v>
      </c>
      <c r="B72" s="32">
        <f t="shared" si="4"/>
        <v>68</v>
      </c>
      <c r="C72" s="34">
        <v>16.899999999999999</v>
      </c>
      <c r="D72" s="34">
        <f t="shared" si="7"/>
        <v>16.899999999999999</v>
      </c>
      <c r="E72" s="46">
        <f t="shared" si="5"/>
        <v>3.5499999999999997E-2</v>
      </c>
      <c r="F72" s="35">
        <v>8008.5871120848296</v>
      </c>
      <c r="G72" s="35">
        <v>6664.0015655590441</v>
      </c>
      <c r="H72" s="34">
        <f>C71-H68</f>
        <v>16.900000000000006</v>
      </c>
    </row>
    <row r="73" spans="1:8" x14ac:dyDescent="0.25">
      <c r="A73" s="43">
        <f t="shared" si="6"/>
        <v>1955</v>
      </c>
      <c r="B73" s="32">
        <f t="shared" si="4"/>
        <v>69</v>
      </c>
      <c r="C73" s="34">
        <v>16.32</v>
      </c>
      <c r="D73" s="34">
        <f t="shared" si="7"/>
        <v>16.32</v>
      </c>
      <c r="E73" s="46">
        <f t="shared" si="5"/>
        <v>3.6799999999999999E-2</v>
      </c>
      <c r="F73" s="35">
        <v>7724.3317053287328</v>
      </c>
      <c r="G73" s="35">
        <v>6435.2961863860119</v>
      </c>
      <c r="H73" s="34">
        <f>(C72-C77)/5</f>
        <v>0.57999999999999974</v>
      </c>
    </row>
    <row r="74" spans="1:8" x14ac:dyDescent="0.25">
      <c r="A74" s="43">
        <f t="shared" si="6"/>
        <v>1954</v>
      </c>
      <c r="B74" s="32">
        <f t="shared" si="4"/>
        <v>70</v>
      </c>
      <c r="C74" s="34">
        <v>15.74</v>
      </c>
      <c r="D74" s="34">
        <f t="shared" ref="D74:D87" si="8">C74</f>
        <v>15.74</v>
      </c>
      <c r="E74" s="46">
        <f t="shared" si="5"/>
        <v>3.8300000000000001E-2</v>
      </c>
      <c r="F74" s="35">
        <v>7439.402586274422</v>
      </c>
      <c r="G74" s="35">
        <v>6206.5908072129796</v>
      </c>
    </row>
    <row r="75" spans="1:8" x14ac:dyDescent="0.25">
      <c r="A75" s="43">
        <f t="shared" si="6"/>
        <v>1953</v>
      </c>
      <c r="B75" s="32">
        <f t="shared" si="4"/>
        <v>71</v>
      </c>
      <c r="C75" s="34">
        <v>15.16</v>
      </c>
      <c r="D75" s="34">
        <f t="shared" si="8"/>
        <v>15.16</v>
      </c>
      <c r="E75" s="46">
        <f t="shared" si="5"/>
        <v>3.9800000000000002E-2</v>
      </c>
      <c r="F75" s="35">
        <v>7154.6476113429717</v>
      </c>
      <c r="G75" s="35">
        <v>5977.8854280399473</v>
      </c>
    </row>
    <row r="76" spans="1:8" x14ac:dyDescent="0.25">
      <c r="A76" s="43">
        <f t="shared" si="6"/>
        <v>1952</v>
      </c>
      <c r="B76" s="32">
        <f t="shared" si="4"/>
        <v>72</v>
      </c>
      <c r="C76" s="34">
        <v>14.58</v>
      </c>
      <c r="D76" s="34">
        <f t="shared" si="8"/>
        <v>14.58</v>
      </c>
      <c r="E76" s="46">
        <f t="shared" si="5"/>
        <v>4.1399999999999999E-2</v>
      </c>
      <c r="F76" s="35">
        <v>6870.2204833329852</v>
      </c>
      <c r="G76" s="35">
        <v>5749.1800488669151</v>
      </c>
    </row>
    <row r="77" spans="1:8" x14ac:dyDescent="0.25">
      <c r="A77" s="43">
        <f t="shared" si="6"/>
        <v>1951</v>
      </c>
      <c r="B77" s="32">
        <f t="shared" si="4"/>
        <v>73</v>
      </c>
      <c r="C77" s="34">
        <v>14</v>
      </c>
      <c r="D77" s="34">
        <f t="shared" si="8"/>
        <v>14</v>
      </c>
      <c r="E77" s="46">
        <f t="shared" si="5"/>
        <v>7.5300000000000006E-2</v>
      </c>
      <c r="F77" s="35">
        <v>6389.1197650264912</v>
      </c>
      <c r="G77" s="35">
        <v>5520.4746696938828</v>
      </c>
      <c r="H77" s="34">
        <f>C76-H73</f>
        <v>14</v>
      </c>
    </row>
    <row r="78" spans="1:8" x14ac:dyDescent="0.25">
      <c r="A78" s="43">
        <f t="shared" si="6"/>
        <v>1950</v>
      </c>
      <c r="B78" s="32">
        <f t="shared" si="4"/>
        <v>74</v>
      </c>
      <c r="C78" s="34">
        <v>13.02</v>
      </c>
      <c r="D78" s="34">
        <f t="shared" si="8"/>
        <v>13.02</v>
      </c>
      <c r="E78" s="46">
        <f t="shared" si="5"/>
        <v>8.14E-2</v>
      </c>
      <c r="F78" s="35">
        <v>5908.1928657541075</v>
      </c>
      <c r="G78" s="35">
        <v>5134.0414428153108</v>
      </c>
      <c r="H78" s="34">
        <f>(C77-C82)/5</f>
        <v>0.98000000000000009</v>
      </c>
    </row>
    <row r="79" spans="1:8" x14ac:dyDescent="0.25">
      <c r="A79" s="43">
        <f t="shared" si="6"/>
        <v>1949</v>
      </c>
      <c r="B79" s="32">
        <f t="shared" ref="B79:B88" si="9">B78+1</f>
        <v>75</v>
      </c>
      <c r="C79" s="34">
        <v>12.04</v>
      </c>
      <c r="D79" s="34">
        <f t="shared" si="8"/>
        <v>12.04</v>
      </c>
      <c r="E79" s="46">
        <f t="shared" si="5"/>
        <v>8.8599999999999998E-2</v>
      </c>
      <c r="F79" s="35">
        <v>5427.3313115507144</v>
      </c>
      <c r="G79" s="35">
        <v>4747.6082159367388</v>
      </c>
    </row>
    <row r="80" spans="1:8" x14ac:dyDescent="0.25">
      <c r="A80" s="43">
        <f t="shared" si="6"/>
        <v>1948</v>
      </c>
      <c r="B80" s="32">
        <f t="shared" si="9"/>
        <v>76</v>
      </c>
      <c r="C80" s="34">
        <v>11.059999999999999</v>
      </c>
      <c r="D80" s="34">
        <f t="shared" si="8"/>
        <v>11.059999999999999</v>
      </c>
      <c r="E80" s="46">
        <f t="shared" si="5"/>
        <v>9.7199999999999995E-2</v>
      </c>
      <c r="F80" s="35">
        <v>4946.5287199696631</v>
      </c>
      <c r="G80" s="35">
        <v>4361.1749890581668</v>
      </c>
    </row>
    <row r="81" spans="1:8" x14ac:dyDescent="0.25">
      <c r="A81" s="43">
        <f t="shared" si="6"/>
        <v>1947</v>
      </c>
      <c r="B81" s="32">
        <f t="shared" si="9"/>
        <v>77</v>
      </c>
      <c r="C81" s="34">
        <v>10.079999999999998</v>
      </c>
      <c r="D81" s="34">
        <f t="shared" si="8"/>
        <v>10.079999999999998</v>
      </c>
      <c r="E81" s="46">
        <f t="shared" si="5"/>
        <v>0.1077</v>
      </c>
      <c r="F81" s="35">
        <v>4465.5851945198729</v>
      </c>
      <c r="G81" s="35">
        <v>3974.7417621795948</v>
      </c>
    </row>
    <row r="82" spans="1:8" x14ac:dyDescent="0.25">
      <c r="A82" s="43">
        <f t="shared" si="6"/>
        <v>1946</v>
      </c>
      <c r="B82" s="32">
        <f t="shared" si="9"/>
        <v>78</v>
      </c>
      <c r="C82" s="34">
        <v>9.1</v>
      </c>
      <c r="D82" s="34">
        <f t="shared" si="8"/>
        <v>9.1</v>
      </c>
      <c r="E82" s="46">
        <f t="shared" si="5"/>
        <v>4.8399999999999999E-2</v>
      </c>
      <c r="F82" s="35">
        <v>4259.4288387255556</v>
      </c>
      <c r="G82" s="35">
        <v>3588.3085353010238</v>
      </c>
    </row>
    <row r="83" spans="1:8" x14ac:dyDescent="0.25">
      <c r="A83" s="43">
        <f t="shared" si="6"/>
        <v>1945</v>
      </c>
      <c r="B83" s="32">
        <f t="shared" si="9"/>
        <v>79</v>
      </c>
      <c r="C83" s="34">
        <v>8.68</v>
      </c>
      <c r="D83" s="34">
        <f t="shared" si="8"/>
        <v>8.68</v>
      </c>
      <c r="E83" s="46">
        <f t="shared" si="5"/>
        <v>5.0799999999999998E-2</v>
      </c>
      <c r="F83" s="35">
        <v>4053.5105050680963</v>
      </c>
      <c r="G83" s="35">
        <v>3422.6942952102072</v>
      </c>
      <c r="H83" s="34">
        <f>(C82-C87)/5</f>
        <v>0.41999999999999993</v>
      </c>
    </row>
    <row r="84" spans="1:8" x14ac:dyDescent="0.25">
      <c r="A84" s="43">
        <f t="shared" si="6"/>
        <v>1944</v>
      </c>
      <c r="B84" s="32">
        <f t="shared" si="9"/>
        <v>80</v>
      </c>
      <c r="C84" s="34">
        <v>8.26</v>
      </c>
      <c r="D84" s="34">
        <f t="shared" si="8"/>
        <v>8.26</v>
      </c>
      <c r="E84" s="46">
        <f t="shared" si="5"/>
        <v>5.3600000000000002E-2</v>
      </c>
      <c r="F84" s="35">
        <v>3847.2954679841459</v>
      </c>
      <c r="G84" s="35">
        <v>3257.0800551193906</v>
      </c>
    </row>
    <row r="85" spans="1:8" x14ac:dyDescent="0.25">
      <c r="A85" s="43">
        <f t="shared" si="6"/>
        <v>1943</v>
      </c>
      <c r="B85" s="32">
        <f t="shared" si="9"/>
        <v>81</v>
      </c>
      <c r="C85" s="34">
        <v>7.84</v>
      </c>
      <c r="D85" s="34">
        <f t="shared" si="8"/>
        <v>7.84</v>
      </c>
      <c r="E85" s="46">
        <f t="shared" si="5"/>
        <v>5.6599999999999998E-2</v>
      </c>
      <c r="F85" s="35">
        <v>3641.2033579255594</v>
      </c>
      <c r="G85" s="35">
        <v>3091.4658150285745</v>
      </c>
    </row>
    <row r="86" spans="1:8" x14ac:dyDescent="0.25">
      <c r="A86" s="43">
        <f t="shared" si="6"/>
        <v>1942</v>
      </c>
      <c r="B86" s="32">
        <f t="shared" si="9"/>
        <v>82</v>
      </c>
      <c r="C86" s="34">
        <v>7.42</v>
      </c>
      <c r="D86" s="34">
        <f t="shared" si="8"/>
        <v>7.42</v>
      </c>
      <c r="E86" s="46">
        <f t="shared" si="5"/>
        <v>0.06</v>
      </c>
      <c r="F86" s="35">
        <v>3435.0975074769426</v>
      </c>
      <c r="G86" s="35">
        <v>2925.851574937758</v>
      </c>
    </row>
    <row r="87" spans="1:8" x14ac:dyDescent="0.25">
      <c r="A87" s="43">
        <f t="shared" si="6"/>
        <v>1941</v>
      </c>
      <c r="B87" s="32">
        <f t="shared" si="9"/>
        <v>83</v>
      </c>
      <c r="C87" s="34">
        <v>7</v>
      </c>
      <c r="D87" s="34">
        <f t="shared" si="8"/>
        <v>7</v>
      </c>
      <c r="E87" s="46"/>
      <c r="G87" s="35">
        <v>2760.2373348469414</v>
      </c>
      <c r="H87" s="34">
        <f>C86-H83</f>
        <v>7</v>
      </c>
    </row>
    <row r="88" spans="1:8" x14ac:dyDescent="0.25">
      <c r="A88" s="43">
        <f t="shared" si="6"/>
        <v>1940</v>
      </c>
      <c r="B88" s="32">
        <f t="shared" si="9"/>
        <v>84</v>
      </c>
      <c r="D88" s="34">
        <f>C87</f>
        <v>7</v>
      </c>
      <c r="E88" s="46"/>
      <c r="G88" s="35">
        <v>2760.2373348469414</v>
      </c>
      <c r="H88" s="34">
        <f>C86-H84</f>
        <v>7.42</v>
      </c>
    </row>
  </sheetData>
  <sheetProtection algorithmName="SHA-512" hashValue="08nqkMBCyBKnJiGIpRLTpKbalRHoGsu4C18IfWhcKO+/vzcRaGz6G0dL3cXS/u/g9wUVWYRP5pkATduLmdzE8w==" saltValue="LXXU5BloiQn7P5BZk4h4Yw==" spinCount="100000" sheet="1" objects="1" scenarios="1" selectLockedCells="1"/>
  <printOptions horizontalCentered="1" verticalCentered="1"/>
  <pageMargins left="0.7" right="0.7" top="0.17" bottom="0.16" header="0.17" footer="0.16"/>
  <pageSetup scale="77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19FD8-A318-42C0-B562-21FFB8089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7F0A5-784A-4AA6-8801-4795C0AEE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F9078D-64F6-40E5-B3F3-EBBF0E3D99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Input</vt:lpstr>
      <vt:lpstr>Capital Changes</vt:lpstr>
      <vt:lpstr>FRV Calc</vt:lpstr>
      <vt:lpstr>Per Bed Value</vt:lpstr>
      <vt:lpstr>InputDeprRate</vt:lpstr>
      <vt:lpstr>LastAdd</vt:lpstr>
      <vt:lpstr>PerBedVal</vt:lpstr>
      <vt:lpstr>'FRV Calc'!Print_Area</vt:lpstr>
      <vt:lpstr>RSMeans</vt:lpstr>
    </vt:vector>
  </TitlesOfParts>
  <Company>UT Dept of Health/DHCF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K. Baker</dc:creator>
  <cp:lastModifiedBy>EdD</cp:lastModifiedBy>
  <cp:lastPrinted>2019-02-19T14:51:33Z</cp:lastPrinted>
  <dcterms:created xsi:type="dcterms:W3CDTF">1999-05-11T15:17:57Z</dcterms:created>
  <dcterms:modified xsi:type="dcterms:W3CDTF">2024-03-11T18:57:32Z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-1522315753</vt:i4>
  </property>
  <property fmtid="{D5CDD505-2E9C-101B-9397-08002B2CF9AE}" pid="3" name="_NewReviewCycle">
    <vt:lpwstr/>
  </property>
  <property fmtid="{D5CDD505-2E9C-101B-9397-08002B2CF9AE}" pid="4" name="_EmailSubject">
    <vt:lpwstr>Rocky Mountain Care - Riverton FRV data</vt:lpwstr>
  </property>
  <property fmtid="{D5CDD505-2E9C-101B-9397-08002B2CF9AE}" pid="5" name="_AuthorEmail">
    <vt:lpwstr>DawnArras@atlasmanage.com</vt:lpwstr>
  </property>
  <property fmtid="{D5CDD505-2E9C-101B-9397-08002B2CF9AE}" pid="6" name="_AuthorEmailDisplayName">
    <vt:lpwstr>Dawn Arras</vt:lpwstr>
  </property>
  <property fmtid="{D5CDD505-2E9C-101B-9397-08002B2CF9AE}" pid="7" name="_ReviewingToolsShownOnce">
    <vt:lpwstr/>
  </property>
</Properties>
</file>